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ll\Dropbox\TFN\Tasa de actuación\"/>
    </mc:Choice>
  </mc:AlternateContent>
  <bookViews>
    <workbookView xWindow="0" yWindow="0" windowWidth="23040" windowHeight="9072"/>
  </bookViews>
  <sheets>
    <sheet name="Enero" sheetId="10" r:id="rId1"/>
    <sheet name="Tasa Actuación 2024" sheetId="5" r:id="rId2"/>
    <sheet name="Junio" sheetId="8" state="hidden" r:id="rId3"/>
    <sheet name="TFN" sheetId="1" r:id="rId4"/>
    <sheet name="AFIP" sheetId="3" r:id="rId5"/>
    <sheet name="Mayo" sheetId="7" state="hidden" r:id="rId6"/>
    <sheet name="Abril" sheetId="4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P19" i="1"/>
  <c r="T19" i="1"/>
  <c r="V19" i="1"/>
  <c r="X19" i="1"/>
  <c r="G5" i="5"/>
  <c r="F18" i="5"/>
  <c r="G21" i="5"/>
  <c r="F21" i="5"/>
  <c r="G22" i="5" s="1"/>
  <c r="E21" i="5"/>
  <c r="D21" i="5"/>
  <c r="C21" i="5"/>
  <c r="G6" i="5"/>
  <c r="F5" i="5"/>
  <c r="AB15" i="1"/>
  <c r="AB14" i="1"/>
  <c r="AB13" i="1"/>
  <c r="AB12" i="1"/>
  <c r="AB11" i="1"/>
  <c r="AB10" i="1"/>
  <c r="AB9" i="1"/>
  <c r="AB8" i="1"/>
  <c r="AB7" i="1"/>
  <c r="AB6" i="1"/>
  <c r="AB5" i="1"/>
  <c r="AB4" i="1"/>
  <c r="V18" i="1"/>
  <c r="X16" i="1"/>
  <c r="X22" i="1" s="1"/>
  <c r="X38" i="1"/>
  <c r="X37" i="1"/>
  <c r="X36" i="1"/>
  <c r="X35" i="1"/>
  <c r="X34" i="1"/>
  <c r="X33" i="1"/>
  <c r="X32" i="1"/>
  <c r="X31" i="1"/>
  <c r="X30" i="1"/>
  <c r="X29" i="1"/>
  <c r="X28" i="1"/>
  <c r="X27" i="1"/>
  <c r="V20" i="1"/>
  <c r="Y10" i="1"/>
  <c r="Y9" i="1"/>
  <c r="Y5" i="1"/>
  <c r="V38" i="1"/>
  <c r="V37" i="1"/>
  <c r="V36" i="1"/>
  <c r="V35" i="1"/>
  <c r="V34" i="1"/>
  <c r="V33" i="1"/>
  <c r="V32" i="1"/>
  <c r="V31" i="1"/>
  <c r="V30" i="1"/>
  <c r="V29" i="1"/>
  <c r="V28" i="1"/>
  <c r="V27" i="1"/>
  <c r="G18" i="5" l="1"/>
  <c r="Y11" i="1"/>
  <c r="Y12" i="1"/>
  <c r="Y13" i="1"/>
  <c r="Y14" i="1"/>
  <c r="Y4" i="1"/>
  <c r="Y6" i="1"/>
  <c r="Y7" i="1"/>
  <c r="X18" i="1"/>
  <c r="X20" i="1" s="1"/>
  <c r="Y15" i="1"/>
  <c r="Y8" i="1"/>
  <c r="E15" i="5" l="1"/>
  <c r="L19" i="1" l="1"/>
  <c r="R19" i="1"/>
  <c r="C5" i="5" l="1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C16" i="5"/>
  <c r="D16" i="5"/>
  <c r="E16" i="5"/>
  <c r="C17" i="5"/>
  <c r="D17" i="5"/>
  <c r="E17" i="5"/>
  <c r="F22" i="5" l="1"/>
  <c r="E18" i="5"/>
  <c r="F19" i="5" s="1"/>
  <c r="C18" i="5"/>
  <c r="D18" i="5"/>
  <c r="E22" i="5"/>
  <c r="D22" i="5" l="1"/>
  <c r="D19" i="5"/>
  <c r="E19" i="5"/>
  <c r="D15" i="3"/>
  <c r="D14" i="3"/>
  <c r="D13" i="3"/>
  <c r="D12" i="3"/>
  <c r="D11" i="3"/>
  <c r="D10" i="3"/>
  <c r="D9" i="3"/>
  <c r="D8" i="3"/>
  <c r="D7" i="3"/>
  <c r="D6" i="3"/>
  <c r="D5" i="3"/>
  <c r="D4" i="3"/>
  <c r="M34" i="3"/>
  <c r="K34" i="3"/>
  <c r="I34" i="3"/>
  <c r="G34" i="3"/>
  <c r="E34" i="3"/>
  <c r="C34" i="3"/>
  <c r="D16" i="3" l="1"/>
  <c r="F5" i="3"/>
  <c r="F6" i="3"/>
  <c r="F7" i="3"/>
  <c r="F8" i="3"/>
  <c r="F9" i="3"/>
  <c r="F10" i="3"/>
  <c r="F11" i="3"/>
  <c r="F12" i="3"/>
  <c r="F13" i="3"/>
  <c r="P13" i="3" s="1"/>
  <c r="F14" i="3"/>
  <c r="P14" i="3" s="1"/>
  <c r="F15" i="3"/>
  <c r="P15" i="3" s="1"/>
  <c r="F4" i="3"/>
  <c r="K14" i="3" l="1"/>
  <c r="I14" i="3"/>
  <c r="G14" i="3"/>
  <c r="K13" i="3"/>
  <c r="I13" i="3"/>
  <c r="G13" i="3"/>
  <c r="H13" i="3" s="1"/>
  <c r="F16" i="3"/>
  <c r="K15" i="3"/>
  <c r="I15" i="3"/>
  <c r="G15" i="3"/>
  <c r="H15" i="3" s="1"/>
  <c r="H5" i="3"/>
  <c r="P5" i="3" s="1"/>
  <c r="H6" i="3"/>
  <c r="P6" i="3" s="1"/>
  <c r="H7" i="3"/>
  <c r="P7" i="3" s="1"/>
  <c r="H8" i="3"/>
  <c r="P8" i="3" s="1"/>
  <c r="H9" i="3"/>
  <c r="P9" i="3" s="1"/>
  <c r="H10" i="3"/>
  <c r="P10" i="3" s="1"/>
  <c r="H11" i="3"/>
  <c r="P11" i="3" s="1"/>
  <c r="H12" i="3"/>
  <c r="P12" i="3" s="1"/>
  <c r="H14" i="3"/>
  <c r="H4" i="3"/>
  <c r="P4" i="3" s="1"/>
  <c r="E16" i="3"/>
  <c r="C16" i="3"/>
  <c r="E18" i="3" l="1"/>
  <c r="E17" i="3"/>
  <c r="C18" i="3"/>
  <c r="C17" i="3"/>
  <c r="G16" i="3"/>
  <c r="K10" i="3"/>
  <c r="I10" i="3"/>
  <c r="M6" i="3"/>
  <c r="K6" i="3"/>
  <c r="I6" i="3"/>
  <c r="M5" i="3"/>
  <c r="K5" i="3"/>
  <c r="I5" i="3"/>
  <c r="I4" i="3"/>
  <c r="M4" i="3"/>
  <c r="K4" i="3"/>
  <c r="K8" i="3"/>
  <c r="I8" i="3"/>
  <c r="K9" i="3"/>
  <c r="I9" i="3"/>
  <c r="K12" i="3"/>
  <c r="I12" i="3"/>
  <c r="K11" i="3"/>
  <c r="I11" i="3"/>
  <c r="M7" i="3"/>
  <c r="K7" i="3"/>
  <c r="I7" i="3"/>
  <c r="H16" i="3"/>
  <c r="T30" i="1"/>
  <c r="T29" i="1"/>
  <c r="T28" i="1"/>
  <c r="T27" i="1"/>
  <c r="R38" i="1"/>
  <c r="R37" i="1"/>
  <c r="R36" i="1"/>
  <c r="R35" i="1"/>
  <c r="R34" i="1"/>
  <c r="R33" i="1"/>
  <c r="R32" i="1"/>
  <c r="R31" i="1"/>
  <c r="R30" i="1"/>
  <c r="R29" i="1"/>
  <c r="R28" i="1"/>
  <c r="R27" i="1"/>
  <c r="P38" i="1"/>
  <c r="P37" i="1"/>
  <c r="P36" i="1"/>
  <c r="P35" i="1"/>
  <c r="P34" i="1"/>
  <c r="P33" i="1"/>
  <c r="P32" i="1"/>
  <c r="P31" i="1"/>
  <c r="P30" i="1"/>
  <c r="P29" i="1"/>
  <c r="P28" i="1"/>
  <c r="P27" i="1"/>
  <c r="N38" i="1"/>
  <c r="N37" i="1"/>
  <c r="N36" i="1"/>
  <c r="N35" i="1"/>
  <c r="N34" i="1"/>
  <c r="N33" i="1"/>
  <c r="N32" i="1"/>
  <c r="N31" i="1"/>
  <c r="N30" i="1"/>
  <c r="N29" i="1"/>
  <c r="N28" i="1"/>
  <c r="N27" i="1"/>
  <c r="L38" i="1"/>
  <c r="L37" i="1"/>
  <c r="L36" i="1"/>
  <c r="L35" i="1"/>
  <c r="L34" i="1"/>
  <c r="L33" i="1"/>
  <c r="L32" i="1"/>
  <c r="L31" i="1"/>
  <c r="L30" i="1"/>
  <c r="L29" i="1"/>
  <c r="L28" i="1"/>
  <c r="L27" i="1"/>
  <c r="I18" i="1"/>
  <c r="I22" i="1" s="1"/>
  <c r="H18" i="1"/>
  <c r="H22" i="1" s="1"/>
  <c r="G18" i="1"/>
  <c r="G22" i="1" s="1"/>
  <c r="F18" i="1"/>
  <c r="F22" i="1" s="1"/>
  <c r="E18" i="1"/>
  <c r="E22" i="1" s="1"/>
  <c r="D18" i="1"/>
  <c r="D22" i="1" s="1"/>
  <c r="C18" i="1"/>
  <c r="C22" i="1" s="1"/>
  <c r="R16" i="1"/>
  <c r="P16" i="1"/>
  <c r="N16" i="1"/>
  <c r="L16" i="1"/>
  <c r="L18" i="1" s="1"/>
  <c r="L20" i="1" s="1"/>
  <c r="J16" i="1"/>
  <c r="J18" i="1" s="1"/>
  <c r="J20" i="1" s="1"/>
  <c r="N18" i="1" l="1"/>
  <c r="N20" i="1" s="1"/>
  <c r="N22" i="1"/>
  <c r="R18" i="1"/>
  <c r="R20" i="1" s="1"/>
  <c r="R22" i="1"/>
  <c r="M17" i="3"/>
  <c r="P18" i="1"/>
  <c r="P20" i="1" s="1"/>
  <c r="P22" i="1"/>
  <c r="G18" i="3"/>
  <c r="G17" i="3"/>
  <c r="J22" i="1"/>
  <c r="J19" i="1"/>
  <c r="L22" i="1"/>
  <c r="K16" i="3"/>
  <c r="Q4" i="1"/>
  <c r="I16" i="3"/>
  <c r="J11" i="3" s="1"/>
  <c r="Q12" i="1"/>
  <c r="Q8" i="1"/>
  <c r="S8" i="1"/>
  <c r="S11" i="1"/>
  <c r="S4" i="1"/>
  <c r="S15" i="1"/>
  <c r="S7" i="1"/>
  <c r="S12" i="1"/>
  <c r="S5" i="1"/>
  <c r="S9" i="1"/>
  <c r="S13" i="1"/>
  <c r="S6" i="1"/>
  <c r="S10" i="1"/>
  <c r="S14" i="1"/>
  <c r="O4" i="1"/>
  <c r="Q15" i="1"/>
  <c r="Q11" i="1"/>
  <c r="Q7" i="1"/>
  <c r="O12" i="1"/>
  <c r="Q14" i="1"/>
  <c r="Q10" i="1"/>
  <c r="Q6" i="1"/>
  <c r="O8" i="1"/>
  <c r="Q13" i="1"/>
  <c r="Q9" i="1"/>
  <c r="Q5" i="1"/>
  <c r="O15" i="1"/>
  <c r="O11" i="1"/>
  <c r="O7" i="1"/>
  <c r="O14" i="1"/>
  <c r="O10" i="1"/>
  <c r="O6" i="1"/>
  <c r="O13" i="1"/>
  <c r="O9" i="1"/>
  <c r="O5" i="1"/>
  <c r="M4" i="1"/>
  <c r="M8" i="1"/>
  <c r="M15" i="1"/>
  <c r="M11" i="1"/>
  <c r="M7" i="1"/>
  <c r="M12" i="1"/>
  <c r="M14" i="1"/>
  <c r="M10" i="1"/>
  <c r="M6" i="1"/>
  <c r="M13" i="1"/>
  <c r="M9" i="1"/>
  <c r="M5" i="1"/>
  <c r="K12" i="1"/>
  <c r="K5" i="1"/>
  <c r="K9" i="1"/>
  <c r="K13" i="1"/>
  <c r="K4" i="1"/>
  <c r="K8" i="1"/>
  <c r="K6" i="1"/>
  <c r="K10" i="1"/>
  <c r="K14" i="1"/>
  <c r="K7" i="1"/>
  <c r="K11" i="1"/>
  <c r="K15" i="1"/>
  <c r="L10" i="3" l="1"/>
  <c r="L11" i="3"/>
  <c r="L9" i="3"/>
  <c r="L12" i="3"/>
  <c r="L8" i="3"/>
  <c r="I18" i="3"/>
  <c r="I17" i="3"/>
  <c r="J15" i="3"/>
  <c r="J13" i="3"/>
  <c r="J14" i="3"/>
  <c r="K18" i="3"/>
  <c r="K17" i="3"/>
  <c r="L15" i="3"/>
  <c r="L14" i="3"/>
  <c r="L13" i="3"/>
  <c r="M13" i="3" s="1"/>
  <c r="J9" i="3"/>
  <c r="M9" i="3" s="1"/>
  <c r="J12" i="3"/>
  <c r="M12" i="3" s="1"/>
  <c r="J8" i="3"/>
  <c r="J10" i="3"/>
  <c r="M10" i="3" s="1"/>
  <c r="M11" i="3"/>
  <c r="T34" i="1"/>
  <c r="T33" i="1"/>
  <c r="T35" i="1"/>
  <c r="T32" i="1"/>
  <c r="T31" i="1"/>
  <c r="M8" i="3" l="1"/>
  <c r="M14" i="3"/>
  <c r="M15" i="3"/>
  <c r="M16" i="3" s="1"/>
  <c r="M18" i="3" s="1"/>
  <c r="T37" i="1"/>
  <c r="T36" i="1"/>
  <c r="T38" i="1"/>
  <c r="T16" i="1"/>
  <c r="T22" i="1" l="1"/>
  <c r="U8" i="1"/>
  <c r="U15" i="1"/>
  <c r="U7" i="1"/>
  <c r="U11" i="1"/>
  <c r="U14" i="1"/>
  <c r="U6" i="1"/>
  <c r="T18" i="1"/>
  <c r="U10" i="1"/>
  <c r="U13" i="1"/>
  <c r="U5" i="1"/>
  <c r="U12" i="1"/>
  <c r="U4" i="1"/>
  <c r="U9" i="1"/>
  <c r="T20" i="1" l="1"/>
  <c r="V16" i="1" l="1"/>
  <c r="V22" i="1" l="1"/>
  <c r="W13" i="1"/>
  <c r="W5" i="1"/>
  <c r="W12" i="1"/>
  <c r="W4" i="1"/>
  <c r="W10" i="1"/>
  <c r="W9" i="1"/>
  <c r="W8" i="1"/>
  <c r="W7" i="1"/>
  <c r="W14" i="1"/>
  <c r="W6" i="1"/>
  <c r="W11" i="1"/>
  <c r="W15" i="1"/>
</calcChain>
</file>

<file path=xl/sharedStrings.xml><?xml version="1.0" encoding="utf-8"?>
<sst xmlns="http://schemas.openxmlformats.org/spreadsheetml/2006/main" count="94" uniqueCount="37">
  <si>
    <t>TASA DE ACTUACIÓN - Fuente: AFIP (Cod Imp 52)</t>
  </si>
  <si>
    <t>Subtotal</t>
  </si>
  <si>
    <t>Devoluciones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</si>
  <si>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</si>
  <si>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</si>
  <si>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</si>
  <si>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</si>
  <si>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</si>
  <si>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</si>
  <si>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</si>
  <si>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</si>
  <si>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</si>
  <si>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</si>
  <si>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</si>
  <si>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</si>
  <si>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</si>
  <si>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AVG</t>
  </si>
  <si>
    <t>TOTALES</t>
  </si>
  <si>
    <t>PER CÁPITA</t>
  </si>
  <si>
    <t>TOTALES RECURSOS TRIBUTARIOS</t>
  </si>
  <si>
    <t>% s/ Reca</t>
  </si>
  <si>
    <t>Cant empleados</t>
  </si>
  <si>
    <t>Bono mensual per cápita</t>
  </si>
  <si>
    <t>Cant de Empleados</t>
  </si>
  <si>
    <t>PROMEDIO MENSUAL*</t>
  </si>
  <si>
    <t>PROMEDIO MENSUAL PER CÁPITA</t>
  </si>
  <si>
    <t>Var Interanual</t>
  </si>
  <si>
    <t>Proporción de Ago-Sep s/ Año</t>
  </si>
  <si>
    <t>AFIP</t>
  </si>
  <si>
    <t>MASA DE RECAUDACIÓN CON DESTINO A AFIP (millones de pesos)</t>
  </si>
  <si>
    <t>Millones de pesos</t>
  </si>
  <si>
    <t>Recaudación de la Tasa de Actuación ante el TFN</t>
  </si>
  <si>
    <t>Fuente: Secretaría General de Asuntos Jurisdiccionales en base a datos provistos por la AFIP</t>
  </si>
  <si>
    <r>
      <rPr>
        <u/>
        <sz val="10"/>
        <color theme="1"/>
        <rFont val="Calibri"/>
        <family val="2"/>
        <scheme val="minor"/>
      </rPr>
      <t>Destino de la Recaudación</t>
    </r>
    <r>
      <rPr>
        <sz val="10"/>
        <color theme="1"/>
        <rFont val="Calibri"/>
        <family val="2"/>
        <scheme val="minor"/>
      </rPr>
      <t>: La recaudación de la tasa ingresa a la Tesorería General de la Nación, dependiente de la Subsecretaría de Presupuesto de la Secretaría de Hacienda (art. 12 de la ley 25.964)</t>
    </r>
  </si>
  <si>
    <t>Var Año Anterior</t>
  </si>
  <si>
    <t>Var 1 mes Año Anterior</t>
  </si>
  <si>
    <t>1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</si>
</sst>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0_ ;\-0\ "/>
    <numFmt numFmtId="167" formatCode="0.0%"/>
    <numFmt numFmtId="168" formatCode="_-* #,##0.0_-;\-* #,##0.0_-;_-* &quot;-&quot;??_-;_-@_-"/>
    <numFmt numFmtId="172" formatCode="_-* #,##0.00000_-;\-* #,##0.000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4" fillId="2" borderId="0" applyNumberFormat="0" applyBorder="0" applyAlignment="0" applyProtection="0"/>
    <xf numFmtId="0" fontId="16" fillId="14" borderId="18" applyNumberFormat="0" applyAlignment="0" applyProtection="0"/>
    <xf numFmtId="0" fontId="17" fillId="15" borderId="19" applyNumberFormat="0" applyAlignment="0" applyProtection="0"/>
    <xf numFmtId="0" fontId="18" fillId="15" borderId="18" applyNumberFormat="0" applyAlignment="0" applyProtection="0"/>
    <xf numFmtId="0" fontId="19" fillId="0" borderId="20" applyNumberFormat="0" applyFill="0" applyAlignment="0" applyProtection="0"/>
    <xf numFmtId="0" fontId="20" fillId="16" borderId="21" applyNumberFormat="0" applyAlignment="0" applyProtection="0"/>
    <xf numFmtId="0" fontId="21" fillId="0" borderId="0" applyNumberFormat="0" applyFill="0" applyBorder="0" applyAlignment="0" applyProtection="0"/>
    <xf numFmtId="0" fontId="1" fillId="17" borderId="22" applyNumberFormat="0" applyFont="0" applyAlignment="0" applyProtection="0"/>
    <xf numFmtId="0" fontId="22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" fillId="41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2">
    <xf numFmtId="0" fontId="0" fillId="0" borderId="0" xfId="0"/>
    <xf numFmtId="17" fontId="0" fillId="0" borderId="0" xfId="0" applyNumberFormat="1"/>
    <xf numFmtId="43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center"/>
    </xf>
    <xf numFmtId="165" fontId="2" fillId="0" borderId="0" xfId="1" applyNumberFormat="1" applyFont="1"/>
    <xf numFmtId="165" fontId="2" fillId="0" borderId="0" xfId="0" applyNumberFormat="1" applyFont="1"/>
    <xf numFmtId="0" fontId="2" fillId="0" borderId="0" xfId="0" applyFont="1"/>
    <xf numFmtId="0" fontId="0" fillId="3" borderId="0" xfId="0" applyFill="1"/>
    <xf numFmtId="17" fontId="0" fillId="3" borderId="0" xfId="0" applyNumberFormat="1" applyFill="1"/>
    <xf numFmtId="17" fontId="2" fillId="3" borderId="0" xfId="0" applyNumberFormat="1" applyFont="1" applyFill="1"/>
    <xf numFmtId="166" fontId="2" fillId="3" borderId="0" xfId="1" applyNumberFormat="1" applyFont="1" applyFill="1"/>
    <xf numFmtId="0" fontId="2" fillId="3" borderId="0" xfId="0" applyFont="1" applyFill="1"/>
    <xf numFmtId="9" fontId="0" fillId="5" borderId="0" xfId="2" applyFont="1" applyFill="1"/>
    <xf numFmtId="165" fontId="0" fillId="4" borderId="0" xfId="1" applyNumberFormat="1" applyFont="1" applyFill="1"/>
    <xf numFmtId="0" fontId="0" fillId="0" borderId="0" xfId="0"/>
    <xf numFmtId="165" fontId="2" fillId="5" borderId="0" xfId="0" applyNumberFormat="1" applyFont="1" applyFill="1"/>
    <xf numFmtId="165" fontId="0" fillId="5" borderId="0" xfId="1" applyNumberFormat="1" applyFont="1" applyFill="1"/>
    <xf numFmtId="0" fontId="0" fillId="5" borderId="0" xfId="0" applyFill="1"/>
    <xf numFmtId="165" fontId="2" fillId="5" borderId="0" xfId="1" applyNumberFormat="1" applyFont="1" applyFill="1"/>
    <xf numFmtId="0" fontId="2" fillId="5" borderId="0" xfId="0" applyFont="1" applyFill="1"/>
    <xf numFmtId="165" fontId="2" fillId="3" borderId="0" xfId="0" applyNumberFormat="1" applyFont="1" applyFill="1"/>
    <xf numFmtId="165" fontId="2" fillId="3" borderId="0" xfId="1" applyNumberFormat="1" applyFont="1" applyFill="1"/>
    <xf numFmtId="9" fontId="0" fillId="6" borderId="0" xfId="0" applyNumberFormat="1" applyFill="1"/>
    <xf numFmtId="0" fontId="3" fillId="7" borderId="0" xfId="0" quotePrefix="1" applyFont="1" applyFill="1" applyAlignment="1"/>
    <xf numFmtId="0" fontId="2" fillId="3" borderId="0" xfId="0" quotePrefix="1" applyFont="1" applyFill="1" applyAlignment="1">
      <alignment horizontal="left"/>
    </xf>
    <xf numFmtId="167" fontId="0" fillId="5" borderId="0" xfId="2" applyNumberFormat="1" applyFont="1" applyFill="1"/>
    <xf numFmtId="0" fontId="0" fillId="3" borderId="0" xfId="0" applyFont="1" applyFill="1"/>
    <xf numFmtId="167" fontId="2" fillId="3" borderId="0" xfId="2" applyNumberFormat="1" applyFont="1" applyFill="1"/>
    <xf numFmtId="167" fontId="0" fillId="6" borderId="0" xfId="0" applyNumberFormat="1" applyFill="1"/>
    <xf numFmtId="0" fontId="0" fillId="8" borderId="0" xfId="0" applyFill="1"/>
    <xf numFmtId="165" fontId="0" fillId="8" borderId="0" xfId="1" applyNumberFormat="1" applyFont="1" applyFill="1"/>
    <xf numFmtId="165" fontId="2" fillId="8" borderId="0" xfId="0" applyNumberFormat="1" applyFont="1" applyFill="1"/>
    <xf numFmtId="0" fontId="2" fillId="8" borderId="0" xfId="0" applyFont="1" applyFill="1"/>
    <xf numFmtId="17" fontId="2" fillId="8" borderId="0" xfId="0" quotePrefix="1" applyNumberFormat="1" applyFont="1" applyFill="1" applyAlignment="1">
      <alignment horizontal="left"/>
    </xf>
    <xf numFmtId="165" fontId="2" fillId="8" borderId="0" xfId="1" applyNumberFormat="1" applyFont="1" applyFill="1"/>
    <xf numFmtId="0" fontId="0" fillId="8" borderId="0" xfId="0" applyFill="1" applyAlignment="1">
      <alignment horizontal="center"/>
    </xf>
    <xf numFmtId="0" fontId="0" fillId="8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65" fontId="2" fillId="9" borderId="0" xfId="0" applyNumberFormat="1" applyFont="1" applyFill="1"/>
    <xf numFmtId="17" fontId="6" fillId="3" borderId="0" xfId="0" applyNumberFormat="1" applyFont="1" applyFill="1"/>
    <xf numFmtId="43" fontId="6" fillId="3" borderId="0" xfId="1" applyFont="1" applyFill="1"/>
    <xf numFmtId="0" fontId="6" fillId="3" borderId="0" xfId="0" applyFont="1" applyFill="1"/>
    <xf numFmtId="167" fontId="6" fillId="3" borderId="0" xfId="2" applyNumberFormat="1" applyFont="1" applyFill="1" applyAlignment="1">
      <alignment horizontal="center"/>
    </xf>
    <xf numFmtId="0" fontId="6" fillId="0" borderId="0" xfId="0" applyFont="1"/>
    <xf numFmtId="17" fontId="7" fillId="0" borderId="0" xfId="0" applyNumberFormat="1" applyFont="1"/>
    <xf numFmtId="43" fontId="7" fillId="0" borderId="0" xfId="1" applyFont="1"/>
    <xf numFmtId="0" fontId="7" fillId="0" borderId="0" xfId="0" applyFont="1"/>
    <xf numFmtId="167" fontId="7" fillId="0" borderId="0" xfId="2" applyNumberFormat="1" applyFont="1" applyAlignment="1">
      <alignment horizontal="center"/>
    </xf>
    <xf numFmtId="9" fontId="0" fillId="0" borderId="0" xfId="2" applyFont="1"/>
    <xf numFmtId="165" fontId="0" fillId="0" borderId="0" xfId="1" applyNumberFormat="1" applyFont="1" applyFill="1"/>
    <xf numFmtId="167" fontId="6" fillId="11" borderId="0" xfId="2" applyNumberFormat="1" applyFont="1" applyFill="1" applyAlignment="1">
      <alignment horizontal="center"/>
    </xf>
    <xf numFmtId="9" fontId="0" fillId="5" borderId="2" xfId="2" applyFont="1" applyFill="1" applyBorder="1"/>
    <xf numFmtId="9" fontId="0" fillId="5" borderId="3" xfId="2" applyFont="1" applyFill="1" applyBorder="1"/>
    <xf numFmtId="0" fontId="2" fillId="0" borderId="0" xfId="0" applyFont="1" applyFill="1" applyAlignment="1">
      <alignment horizontal="right"/>
    </xf>
    <xf numFmtId="165" fontId="0" fillId="0" borderId="0" xfId="0" applyNumberFormat="1" applyFill="1"/>
    <xf numFmtId="165" fontId="2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8" xfId="0" applyFont="1" applyFill="1" applyBorder="1"/>
    <xf numFmtId="168" fontId="2" fillId="0" borderId="9" xfId="1" applyNumberFormat="1" applyFont="1" applyFill="1" applyBorder="1"/>
    <xf numFmtId="168" fontId="2" fillId="0" borderId="10" xfId="1" applyNumberFormat="1" applyFont="1" applyFill="1" applyBorder="1"/>
    <xf numFmtId="0" fontId="0" fillId="0" borderId="0" xfId="0" applyBorder="1"/>
    <xf numFmtId="0" fontId="0" fillId="0" borderId="11" xfId="0" applyFont="1" applyFill="1" applyBorder="1"/>
    <xf numFmtId="0" fontId="9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2" fillId="12" borderId="14" xfId="0" applyFont="1" applyFill="1" applyBorder="1"/>
    <xf numFmtId="0" fontId="0" fillId="12" borderId="0" xfId="0" applyFill="1" applyBorder="1"/>
    <xf numFmtId="0" fontId="0" fillId="12" borderId="15" xfId="0" applyFill="1" applyBorder="1"/>
    <xf numFmtId="17" fontId="0" fillId="3" borderId="14" xfId="0" applyNumberFormat="1" applyFill="1" applyBorder="1"/>
    <xf numFmtId="168" fontId="0" fillId="0" borderId="0" xfId="1" applyNumberFormat="1" applyFont="1" applyBorder="1"/>
    <xf numFmtId="168" fontId="0" fillId="0" borderId="15" xfId="1" applyNumberFormat="1" applyFont="1" applyBorder="1"/>
    <xf numFmtId="17" fontId="8" fillId="3" borderId="14" xfId="0" applyNumberFormat="1" applyFont="1" applyFill="1" applyBorder="1"/>
    <xf numFmtId="168" fontId="2" fillId="12" borderId="0" xfId="1" applyNumberFormat="1" applyFont="1" applyFill="1" applyBorder="1"/>
    <xf numFmtId="0" fontId="0" fillId="0" borderId="14" xfId="0" applyFont="1" applyFill="1" applyBorder="1"/>
    <xf numFmtId="9" fontId="2" fillId="0" borderId="0" xfId="2" applyFont="1" applyBorder="1"/>
    <xf numFmtId="0" fontId="2" fillId="0" borderId="14" xfId="0" applyFont="1" applyFill="1" applyBorder="1"/>
    <xf numFmtId="168" fontId="2" fillId="0" borderId="0" xfId="1" applyNumberFormat="1" applyFont="1" applyFill="1" applyBorder="1"/>
    <xf numFmtId="168" fontId="2" fillId="0" borderId="15" xfId="1" applyNumberFormat="1" applyFont="1" applyFill="1" applyBorder="1"/>
    <xf numFmtId="17" fontId="11" fillId="0" borderId="11" xfId="0" applyNumberFormat="1" applyFont="1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/>
    <xf numFmtId="9" fontId="1" fillId="10" borderId="12" xfId="2" applyFont="1" applyFill="1" applyBorder="1"/>
    <xf numFmtId="168" fontId="0" fillId="0" borderId="15" xfId="1" applyNumberFormat="1" applyFont="1" applyBorder="1" applyAlignment="1"/>
    <xf numFmtId="168" fontId="0" fillId="10" borderId="15" xfId="1" applyNumberFormat="1" applyFont="1" applyFill="1" applyBorder="1" applyAlignment="1"/>
    <xf numFmtId="165" fontId="0" fillId="10" borderId="0" xfId="1" applyNumberFormat="1" applyFont="1" applyFill="1"/>
    <xf numFmtId="165" fontId="0" fillId="10" borderId="3" xfId="1" applyNumberFormat="1" applyFont="1" applyFill="1" applyBorder="1"/>
    <xf numFmtId="0" fontId="0" fillId="0" borderId="0" xfId="0"/>
    <xf numFmtId="165" fontId="0" fillId="0" borderId="2" xfId="1" applyNumberFormat="1" applyFont="1" applyBorder="1"/>
    <xf numFmtId="165" fontId="5" fillId="10" borderId="0" xfId="1" applyNumberFormat="1" applyFont="1" applyFill="1" applyBorder="1"/>
    <xf numFmtId="165" fontId="5" fillId="0" borderId="0" xfId="1" applyNumberFormat="1" applyFont="1" applyFill="1" applyBorder="1"/>
    <xf numFmtId="9" fontId="5" fillId="5" borderId="0" xfId="2" applyFont="1" applyFill="1" applyBorder="1"/>
    <xf numFmtId="165" fontId="5" fillId="0" borderId="0" xfId="1" applyNumberFormat="1" applyFont="1" applyBorder="1"/>
    <xf numFmtId="0" fontId="5" fillId="0" borderId="0" xfId="0" applyFont="1" applyBorder="1"/>
    <xf numFmtId="43" fontId="5" fillId="0" borderId="0" xfId="1" applyFont="1" applyBorder="1"/>
    <xf numFmtId="17" fontId="5" fillId="3" borderId="0" xfId="0" applyNumberFormat="1" applyFont="1" applyFill="1" applyBorder="1"/>
    <xf numFmtId="9" fontId="0" fillId="5" borderId="0" xfId="2" applyFont="1" applyFill="1" applyBorder="1"/>
    <xf numFmtId="165" fontId="0" fillId="0" borderId="3" xfId="1" applyNumberFormat="1" applyFont="1" applyFill="1" applyBorder="1"/>
    <xf numFmtId="165" fontId="0" fillId="0" borderId="3" xfId="1" applyNumberFormat="1" applyFont="1" applyBorder="1"/>
    <xf numFmtId="0" fontId="0" fillId="0" borderId="3" xfId="0" applyBorder="1"/>
    <xf numFmtId="43" fontId="0" fillId="0" borderId="3" xfId="1" applyFont="1" applyBorder="1"/>
    <xf numFmtId="17" fontId="0" fillId="3" borderId="6" xfId="0" applyNumberFormat="1" applyFill="1" applyBorder="1"/>
    <xf numFmtId="165" fontId="0" fillId="0" borderId="2" xfId="1" applyNumberFormat="1" applyFont="1" applyFill="1" applyBorder="1"/>
    <xf numFmtId="0" fontId="0" fillId="0" borderId="2" xfId="0" applyBorder="1"/>
    <xf numFmtId="43" fontId="0" fillId="0" borderId="2" xfId="1" applyFont="1" applyBorder="1"/>
    <xf numFmtId="17" fontId="0" fillId="3" borderId="4" xfId="0" applyNumberFormat="1" applyFill="1" applyBorder="1"/>
    <xf numFmtId="165" fontId="0" fillId="10" borderId="2" xfId="1" applyNumberFormat="1" applyFont="1" applyFill="1" applyBorder="1"/>
    <xf numFmtId="17" fontId="10" fillId="0" borderId="14" xfId="0" applyNumberFormat="1" applyFont="1" applyFill="1" applyBorder="1" applyAlignment="1">
      <alignment horizontal="justify" wrapText="1"/>
    </xf>
    <xf numFmtId="17" fontId="10" fillId="0" borderId="0" xfId="0" applyNumberFormat="1" applyFont="1" applyFill="1" applyBorder="1" applyAlignment="1">
      <alignment horizontal="justify" wrapText="1"/>
    </xf>
    <xf numFmtId="17" fontId="10" fillId="0" borderId="15" xfId="0" applyNumberFormat="1" applyFont="1" applyFill="1" applyBorder="1" applyAlignment="1">
      <alignment horizontal="justify" wrapText="1"/>
    </xf>
    <xf numFmtId="0" fontId="3" fillId="7" borderId="0" xfId="0" quotePrefix="1" applyFont="1" applyFill="1" applyAlignment="1">
      <alignment horizontal="center"/>
    </xf>
    <xf numFmtId="165" fontId="0" fillId="10" borderId="0" xfId="1" applyNumberFormat="1" applyFont="1" applyFill="1" applyBorder="1"/>
    <xf numFmtId="17" fontId="0" fillId="3" borderId="0" xfId="0" applyNumberFormat="1" applyFill="1" applyBorder="1"/>
    <xf numFmtId="43" fontId="0" fillId="0" borderId="0" xfId="1" applyFont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9" fontId="0" fillId="10" borderId="0" xfId="2" applyFont="1" applyFill="1"/>
    <xf numFmtId="9" fontId="0" fillId="10" borderId="0" xfId="2" applyFont="1" applyFill="1" applyBorder="1"/>
    <xf numFmtId="0" fontId="0" fillId="10" borderId="0" xfId="0" applyFill="1"/>
    <xf numFmtId="168" fontId="0" fillId="0" borderId="0" xfId="1" applyNumberFormat="1" applyFont="1" applyBorder="1" applyAlignment="1"/>
    <xf numFmtId="168" fontId="0" fillId="10" borderId="0" xfId="1" applyNumberFormat="1" applyFont="1" applyFill="1" applyBorder="1" applyAlignment="1"/>
    <xf numFmtId="9" fontId="2" fillId="0" borderId="15" xfId="2" applyFont="1" applyBorder="1"/>
    <xf numFmtId="168" fontId="0" fillId="0" borderId="0" xfId="0" applyNumberFormat="1"/>
    <xf numFmtId="172" fontId="0" fillId="0" borderId="0" xfId="0" applyNumberFormat="1"/>
    <xf numFmtId="4" fontId="0" fillId="4" borderId="0" xfId="2" applyNumberFormat="1" applyFont="1" applyFill="1"/>
    <xf numFmtId="9" fontId="0" fillId="10" borderId="5" xfId="2" applyFont="1" applyFill="1" applyBorder="1"/>
    <xf numFmtId="9" fontId="0" fillId="10" borderId="7" xfId="2" applyFont="1" applyFill="1" applyBorder="1"/>
    <xf numFmtId="9" fontId="8" fillId="10" borderId="12" xfId="2" applyFont="1" applyFill="1" applyBorder="1"/>
    <xf numFmtId="9" fontId="8" fillId="10" borderId="13" xfId="2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Comma 2" xfId="4"/>
    <cellStyle name="Encabezado 4" xfId="8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eutral 2" xfId="5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2" xfId="6" builtinId="17" customBuiltin="1"/>
    <cellStyle name="Título 3" xfId="7" builtinId="18" customBuiltin="1"/>
    <cellStyle name="Título 4" xfId="43"/>
    <cellStyle name="Total" xfId="3" builtinId="25" customBuiltin="1"/>
  </cellStyles>
  <dxfs count="0"/>
  <tableStyles count="0" defaultTableStyle="TableStyleMedium2" defaultPivotStyle="PivotStyleLight16"/>
  <colors>
    <mruColors>
      <color rgb="FF00FFFF"/>
      <color rgb="FF33CCFF"/>
      <color rgb="FF0099FF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Recaudación de la Tasa de Actuación ante el TFN </a:t>
            </a:r>
          </a:p>
          <a:p>
            <a:pPr>
              <a:defRPr sz="1400"/>
            </a:pPr>
            <a:r>
              <a:rPr lang="es-AR" sz="1400"/>
              <a:t>Enero - 2022/2024</a:t>
            </a:r>
          </a:p>
        </c:rich>
      </c:tx>
      <c:layout>
        <c:manualLayout>
          <c:xMode val="edge"/>
          <c:yMode val="edge"/>
          <c:x val="0.26730319801228208"/>
          <c:y val="3.916115790618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42391129680217"/>
          <c:y val="0.16006039910292194"/>
          <c:w val="0.85060879572443449"/>
          <c:h val="0.277317780568354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  <a:alpha val="85000"/>
              </a:schemeClr>
            </a:solidFill>
            <a:ln w="9525" cap="flat" cmpd="sng" algn="ctr">
              <a:solidFill>
                <a:schemeClr val="accent1"/>
              </a:solidFill>
              <a:round/>
            </a:ln>
            <a:effectLst/>
            <a:sp3d contourW="9525">
              <a:contourClr>
                <a:schemeClr val="accent1"/>
              </a:contourClr>
            </a:sp3d>
          </c:spPr>
          <c:invertIfNegative val="0"/>
          <c:cat>
            <c:strRef>
              <c:f>'Tasa Actuación 2024'!$B$6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'Tasa Actuación 2024'!$E$6</c:f>
              <c:numCache>
                <c:formatCode>_-* #,##0.0_-;\-* #,##0.0_-;_-* "-"??_-;_-@_-</c:formatCode>
                <c:ptCount val="1"/>
                <c:pt idx="0">
                  <c:v>12.815388070000001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0-459C-96CE-79F440135A19}"/>
            </c:ext>
          </c:extLst>
        </c:ser>
        <c:ser>
          <c:idx val="1"/>
          <c:order val="1"/>
          <c:tx>
            <c:strRef>
              <c:f>'Tasa Actuación 2024'!$F$5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63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  <a:alpha val="84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B18-44BB-99E7-3F0D94A18751}"/>
              </c:ext>
            </c:extLst>
          </c:dPt>
          <c:cat>
            <c:strRef>
              <c:f>'Tasa Actuación 2024'!$B$6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'Tasa Actuación 2024'!$F$6</c:f>
              <c:numCache>
                <c:formatCode>_-* #,##0.0_-;\-* #,##0.0_-;_-* "-"??_-;_-@_-</c:formatCode>
                <c:ptCount val="1"/>
                <c:pt idx="0">
                  <c:v>122.4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0-459C-96CE-79F440135A19}"/>
            </c:ext>
          </c:extLst>
        </c:ser>
        <c:ser>
          <c:idx val="2"/>
          <c:order val="2"/>
          <c:tx>
            <c:strRef>
              <c:f>'Tasa Actuación 2024'!$G$5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</a:schemeClr>
              </a:contourClr>
            </a:sp3d>
          </c:spPr>
          <c:invertIfNegative val="0"/>
          <c:cat>
            <c:strRef>
              <c:f>'Tasa Actuación 2024'!$B$6</c:f>
              <c:strCache>
                <c:ptCount val="1"/>
                <c:pt idx="0">
                  <c:v>Enero</c:v>
                </c:pt>
              </c:strCache>
            </c:strRef>
          </c:cat>
          <c:val>
            <c:numRef>
              <c:f>'Tasa Actuación 2024'!$G$6</c:f>
              <c:numCache>
                <c:formatCode>_-* #,##0.0_-;\-* #,##0.0_-;_-* "-"??_-;_-@_-</c:formatCode>
                <c:ptCount val="1"/>
                <c:pt idx="0">
                  <c:v>42.523093880000005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0-459C-96CE-79F440135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94559744"/>
        <c:axId val="9362393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'Tasa Actuación 2024'!$B$19</c15:sqref>
                        </c15:formulaRef>
                      </c:ext>
                    </c:extLst>
                    <c:strCache>
                      <c:ptCount val="1"/>
                      <c:pt idx="0">
                        <c:v>Var Año Anterior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'Tasa Actuación 2024'!$B$6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'Tasa Actuación 2024'!$D$19:$G$19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4.4087514425741992E-2</c:v>
                      </c:pt>
                      <c:pt idx="1">
                        <c:v>0.52643925764351596</c:v>
                      </c:pt>
                      <c:pt idx="2">
                        <c:v>1.8327489260294163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10-459C-96CE-79F440135A1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2024'!$B$22</c15:sqref>
                        </c15:formulaRef>
                      </c:ext>
                    </c:extLst>
                    <c:strCache>
                      <c:ptCount val="1"/>
                      <c:pt idx="0">
                        <c:v>Var 1 mes Año Anterior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'Tasa Actuación 2024'!$B$6</c15:sqref>
                        </c15:formulaRef>
                      </c:ext>
                    </c:extLst>
                    <c:strCache>
                      <c:ptCount val="1"/>
                      <c:pt idx="0">
                        <c:v>Enero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2024'!$D$22:$G$22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-0.93998809908089265</c:v>
                      </c:pt>
                      <c:pt idx="1">
                        <c:v>67.205653643710846</c:v>
                      </c:pt>
                      <c:pt idx="2">
                        <c:v>8.5510178335161413</c:v>
                      </c:pt>
                      <c:pt idx="3">
                        <c:v>-0.6525891022875816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210-459C-96CE-79F440135A19}"/>
                  </c:ext>
                </c:extLst>
              </c15:ser>
            </c15:filteredBarSeries>
          </c:ext>
        </c:extLst>
      </c:bar3DChart>
      <c:catAx>
        <c:axId val="9455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3623936"/>
        <c:crosses val="autoZero"/>
        <c:auto val="1"/>
        <c:lblAlgn val="ctr"/>
        <c:lblOffset val="100"/>
        <c:noMultiLvlLbl val="0"/>
      </c:catAx>
      <c:valAx>
        <c:axId val="936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Mill. de pesos</a:t>
                </a:r>
              </a:p>
            </c:rich>
          </c:tx>
          <c:layout>
            <c:manualLayout>
              <c:xMode val="edge"/>
              <c:yMode val="edge"/>
              <c:x val="4.3855118110236228E-2"/>
              <c:y val="0.21560792058713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59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658245389105615E-2"/>
          <c:y val="6.5306105658079858E-2"/>
          <c:w val="0.87263133158619477"/>
          <c:h val="0.627275943493249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2024'!$B$19</c:f>
              <c:strCache>
                <c:ptCount val="1"/>
                <c:pt idx="0">
                  <c:v>Var Año Anterior</c:v>
                </c:pt>
              </c:strCache>
            </c:strRef>
          </c:tx>
          <c:spPr>
            <a:solidFill>
              <a:srgbClr val="00FFFF">
                <a:alpha val="85000"/>
              </a:srgb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4895656124330119E-2"/>
                  <c:y val="-3.5552140604676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89-4F7C-A6D2-10113F6240E8}"/>
                </c:ext>
              </c:extLst>
            </c:dLbl>
            <c:dLbl>
              <c:idx val="1"/>
              <c:layout>
                <c:manualLayout>
                  <c:x val="0"/>
                  <c:y val="-1.6723602632716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89-4F7C-A6D2-10113F6240E8}"/>
                </c:ext>
              </c:extLst>
            </c:dLbl>
            <c:dLbl>
              <c:idx val="2"/>
              <c:layout>
                <c:manualLayout>
                  <c:x val="-1.4895656124330119E-2"/>
                  <c:y val="0.15469332435262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78-4A50-9BC6-688FD9EA74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2024'!$E$5:$G$5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'Tasa Actuación 2024'!$E$19:$G$19</c:f>
              <c:numCache>
                <c:formatCode>0%</c:formatCode>
                <c:ptCount val="3"/>
                <c:pt idx="0">
                  <c:v>0.52643925764351596</c:v>
                </c:pt>
                <c:pt idx="1">
                  <c:v>1.8327489260294163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9-4F7C-A6D2-10113F6240E8}"/>
            </c:ext>
          </c:extLst>
        </c:ser>
        <c:ser>
          <c:idx val="1"/>
          <c:order val="1"/>
          <c:tx>
            <c:strRef>
              <c:f>'Tasa Actuación 2024'!$B$22</c:f>
              <c:strCache>
                <c:ptCount val="1"/>
                <c:pt idx="0">
                  <c:v>Var 1 mes Año Anterior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rgbClr val="002060"/>
              </a:solidFill>
              <a:round/>
            </a:ln>
            <a:effectLst/>
            <a:sp3d contourW="9525">
              <a:contourClr>
                <a:srgbClr val="002060"/>
              </a:contourClr>
            </a:sp3d>
          </c:spPr>
          <c:invertIfNegative val="0"/>
          <c:dLbls>
            <c:dLbl>
              <c:idx val="0"/>
              <c:layout>
                <c:manualLayout>
                  <c:x val="1.0487037130192145E-2"/>
                  <c:y val="1.76684203405096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89-4F7C-A6D2-10113F6240E8}"/>
                </c:ext>
              </c:extLst>
            </c:dLbl>
            <c:dLbl>
              <c:idx val="2"/>
              <c:layout>
                <c:manualLayout>
                  <c:x val="-2.0438065217170325E-2"/>
                  <c:y val="0.146914215490204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89-4F7C-A6D2-10113F624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'Tasa Actuación 2024'!$E$5:$G$5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'Tasa Actuación 2024'!$E$22:$G$22</c:f>
              <c:numCache>
                <c:formatCode>0%</c:formatCode>
                <c:ptCount val="3"/>
                <c:pt idx="0">
                  <c:v>67.205653643710846</c:v>
                </c:pt>
                <c:pt idx="1">
                  <c:v>8.5510178335161413</c:v>
                </c:pt>
                <c:pt idx="2">
                  <c:v>-0.6525891022875816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89-4F7C-A6D2-10113F62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shape val="box"/>
        <c:axId val="139548160"/>
        <c:axId val="93625664"/>
        <c:axId val="0"/>
      </c:bar3DChart>
      <c:catAx>
        <c:axId val="1395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3625664"/>
        <c:crosses val="autoZero"/>
        <c:auto val="1"/>
        <c:lblAlgn val="ctr"/>
        <c:lblOffset val="100"/>
        <c:noMultiLvlLbl val="0"/>
      </c:catAx>
      <c:valAx>
        <c:axId val="936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95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Recaudación de la Tasa de Actuación ante el TFN </a:t>
            </a:r>
          </a:p>
          <a:p>
            <a:pPr>
              <a:defRPr sz="1400"/>
            </a:pPr>
            <a:r>
              <a:rPr lang="es-AR" sz="1400"/>
              <a:t>Enero a junio - 2021/2023</a:t>
            </a:r>
          </a:p>
        </c:rich>
      </c:tx>
      <c:layout>
        <c:manualLayout>
          <c:xMode val="edge"/>
          <c:yMode val="edge"/>
          <c:x val="0.17356846720690525"/>
          <c:y val="3.60951506410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42391129680217"/>
          <c:y val="0.16465951446984053"/>
          <c:w val="0.83292302747870806"/>
          <c:h val="0.274251671975668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'Tasa Actuación 2024'!$B$6:$B$11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'Tasa Actuación 2024'!$D$6:$D$11</c:f>
              <c:numCache>
                <c:formatCode>_-* #,##0.0_-;\-* #,##0.0_-;_-* "-"??_-;_-@_-</c:formatCode>
                <c:ptCount val="6"/>
                <c:pt idx="0">
                  <c:v>0.18789333999999999</c:v>
                </c:pt>
                <c:pt idx="1">
                  <c:v>42.977991119999999</c:v>
                </c:pt>
                <c:pt idx="2">
                  <c:v>37.393948990000005</c:v>
                </c:pt>
                <c:pt idx="3">
                  <c:v>8.4793576399999999</c:v>
                </c:pt>
                <c:pt idx="4">
                  <c:v>25.402381440000003</c:v>
                </c:pt>
                <c:pt idx="5">
                  <c:v>31.405523809999998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9-4E5B-A053-88B6B00BF2FF}"/>
            </c:ext>
          </c:extLst>
        </c:ser>
        <c:ser>
          <c:idx val="1"/>
          <c:order val="1"/>
          <c:tx>
            <c:strRef>
              <c:f>'Tasa Actuación 2024'!$E$5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  <a:ln w="9525" cap="flat" cmpd="sng" algn="ctr">
              <a:solidFill>
                <a:schemeClr val="accent1"/>
              </a:solidFill>
              <a:round/>
            </a:ln>
            <a:effectLst/>
            <a:sp3d contourW="9525">
              <a:contourClr>
                <a:schemeClr val="accent1"/>
              </a:contourClr>
            </a:sp3d>
          </c:spPr>
          <c:invertIfNegative val="0"/>
          <c:cat>
            <c:strRef>
              <c:f>'Tasa Actuación 2024'!$B$6:$B$11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'Tasa Actuación 2024'!$E$6:$E$11</c:f>
              <c:numCache>
                <c:formatCode>_-* #,##0.0_-;\-* #,##0.0_-;_-* "-"??_-;_-@_-</c:formatCode>
                <c:ptCount val="6"/>
                <c:pt idx="0">
                  <c:v>12.815388070000001</c:v>
                </c:pt>
                <c:pt idx="1">
                  <c:v>87.165453029999995</c:v>
                </c:pt>
                <c:pt idx="2">
                  <c:v>73.456039160000003</c:v>
                </c:pt>
                <c:pt idx="3">
                  <c:v>33.597280900000001</c:v>
                </c:pt>
                <c:pt idx="4">
                  <c:v>101.51159174999999</c:v>
                </c:pt>
                <c:pt idx="5">
                  <c:v>23.12092474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9-4E5B-A053-88B6B00BF2FF}"/>
            </c:ext>
          </c:extLst>
        </c:ser>
        <c:ser>
          <c:idx val="2"/>
          <c:order val="2"/>
          <c:tx>
            <c:strRef>
              <c:f>'Tasa Actuación 2024'!$G$5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</a:schemeClr>
              </a:contourClr>
            </a:sp3d>
          </c:spPr>
          <c:invertIfNegative val="0"/>
          <c:cat>
            <c:strRef>
              <c:f>'Tasa Actuación 2024'!$B$6:$B$11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'Tasa Actuación 2024'!$G$6:$G$11</c:f>
              <c:numCache>
                <c:formatCode>_-* #,##0.0_-;\-* #,##0.0_-;_-* "-"??_-;_-@_-</c:formatCode>
                <c:ptCount val="6"/>
                <c:pt idx="0">
                  <c:v>42.523093880000005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9-4E5B-A053-88B6B00B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92807936"/>
        <c:axId val="227035392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'Tasa Actuación 2024'!$B$19</c15:sqref>
                        </c15:formulaRef>
                      </c:ext>
                    </c:extLst>
                    <c:strCache>
                      <c:ptCount val="1"/>
                      <c:pt idx="0">
                        <c:v>Var Año Anterior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'Tasa Actuación 2024'!$B$6:$B$11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'Tasa Actuación 2024'!$D$19:$G$19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4.4087514425741992E-2</c:v>
                      </c:pt>
                      <c:pt idx="1">
                        <c:v>0.52643925764351596</c:v>
                      </c:pt>
                      <c:pt idx="2">
                        <c:v>1.8327489260294163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DE9-4E5B-A053-88B6B00BF2F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2024'!$B$22</c15:sqref>
                        </c15:formulaRef>
                      </c:ext>
                    </c:extLst>
                    <c:strCache>
                      <c:ptCount val="1"/>
                      <c:pt idx="0">
                        <c:v>Var 1 mes Año Anterior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2024'!$B$6:$B$11</c15:sqref>
                        </c15:formulaRef>
                      </c:ext>
                    </c:extLst>
                    <c:strCache>
                      <c:ptCount val="6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2024'!$D$22:$G$22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-0.93998809908089265</c:v>
                      </c:pt>
                      <c:pt idx="1">
                        <c:v>67.205653643710846</c:v>
                      </c:pt>
                      <c:pt idx="2">
                        <c:v>8.5510178335161413</c:v>
                      </c:pt>
                      <c:pt idx="3">
                        <c:v>-0.6525891022875816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DE9-4E5B-A053-88B6B00BF2FF}"/>
                  </c:ext>
                </c:extLst>
              </c15:ser>
            </c15:filteredBarSeries>
          </c:ext>
        </c:extLst>
      </c:bar3DChart>
      <c:catAx>
        <c:axId val="1928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035392"/>
        <c:crosses val="autoZero"/>
        <c:auto val="1"/>
        <c:lblAlgn val="ctr"/>
        <c:lblOffset val="100"/>
        <c:noMultiLvlLbl val="0"/>
      </c:catAx>
      <c:valAx>
        <c:axId val="2270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Mill. de pesos</a:t>
                </a:r>
              </a:p>
            </c:rich>
          </c:tx>
          <c:layout>
            <c:manualLayout>
              <c:xMode val="edge"/>
              <c:yMode val="edge"/>
              <c:x val="4.3855118110236228E-2"/>
              <c:y val="0.21560792058713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2807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658245389105615E-2"/>
          <c:y val="6.5306105658079858E-2"/>
          <c:w val="0.87263133158619477"/>
          <c:h val="0.627275943493249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2024'!$B$19</c:f>
              <c:strCache>
                <c:ptCount val="1"/>
                <c:pt idx="0">
                  <c:v>Var Año Anterior</c:v>
                </c:pt>
              </c:strCache>
            </c:strRef>
          </c:tx>
          <c:spPr>
            <a:solidFill>
              <a:srgbClr val="00FFFF">
                <a:alpha val="85000"/>
              </a:srgb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0"/>
                  <c:y val="0.10687606929973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7-4BCC-BFAE-C16A97FDB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2024'!$D$19:$G$19</c:f>
              <c:numCache>
                <c:formatCode>0%</c:formatCode>
                <c:ptCount val="4"/>
                <c:pt idx="0">
                  <c:v>4.4087514425741992E-2</c:v>
                </c:pt>
                <c:pt idx="1">
                  <c:v>0.52643925764351596</c:v>
                </c:pt>
                <c:pt idx="2">
                  <c:v>1.8327489260294163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7-4BCC-BFAE-C16A97FDBE0A}"/>
            </c:ext>
          </c:extLst>
        </c:ser>
        <c:ser>
          <c:idx val="1"/>
          <c:order val="1"/>
          <c:tx>
            <c:strRef>
              <c:f>'Tasa Actuación 2024'!$B$22</c:f>
              <c:strCache>
                <c:ptCount val="1"/>
                <c:pt idx="0">
                  <c:v>Var 1 mes Año Anterior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rgbClr val="002060"/>
              </a:solidFill>
              <a:round/>
            </a:ln>
            <a:effectLst/>
            <a:sp3d contourW="9525">
              <a:contourClr>
                <a:srgbClr val="002060"/>
              </a:contourClr>
            </a:sp3d>
          </c:spPr>
          <c:invertIfNegative val="0"/>
          <c:dLbls>
            <c:dLbl>
              <c:idx val="0"/>
              <c:layout>
                <c:manualLayout>
                  <c:x val="2.7710423024699588E-3"/>
                  <c:y val="0.29696969696969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7-4BCC-BFAE-C16A97FDBE0A}"/>
                </c:ext>
              </c:extLst>
            </c:dLbl>
            <c:dLbl>
              <c:idx val="1"/>
              <c:layout>
                <c:manualLayout>
                  <c:x val="2.7710423024699588E-3"/>
                  <c:y val="0.187878787878787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57-4BCC-BFAE-C16A97FDBE0A}"/>
                </c:ext>
              </c:extLst>
            </c:dLbl>
            <c:dLbl>
              <c:idx val="3"/>
              <c:layout>
                <c:manualLayout>
                  <c:x val="5.3648455693396167E-4"/>
                  <c:y val="0.15588378518435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2024'!$D$22:$G$22</c:f>
              <c:numCache>
                <c:formatCode>0%</c:formatCode>
                <c:ptCount val="4"/>
                <c:pt idx="0">
                  <c:v>-0.93998809908089265</c:v>
                </c:pt>
                <c:pt idx="1">
                  <c:v>67.205653643710846</c:v>
                </c:pt>
                <c:pt idx="2">
                  <c:v>8.5510178335161413</c:v>
                </c:pt>
                <c:pt idx="3">
                  <c:v>-0.6525891022875816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57-4BCC-BFAE-C16A97FDB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shape val="box"/>
        <c:axId val="91705344"/>
        <c:axId val="227037120"/>
        <c:axId val="0"/>
      </c:bar3DChart>
      <c:catAx>
        <c:axId val="917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037120"/>
        <c:crosses val="autoZero"/>
        <c:auto val="1"/>
        <c:lblAlgn val="ctr"/>
        <c:lblOffset val="100"/>
        <c:noMultiLvlLbl val="0"/>
      </c:catAx>
      <c:valAx>
        <c:axId val="22703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170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Recaudación de la Tasa de Actuación ante el TFN </a:t>
            </a:r>
          </a:p>
          <a:p>
            <a:pPr>
              <a:defRPr sz="1400"/>
            </a:pPr>
            <a:r>
              <a:rPr lang="es-AR" sz="1400"/>
              <a:t>Enero a mayo - 2021/2023</a:t>
            </a:r>
          </a:p>
        </c:rich>
      </c:tx>
      <c:layout>
        <c:manualLayout>
          <c:xMode val="edge"/>
          <c:yMode val="edge"/>
          <c:x val="0.17356846720690525"/>
          <c:y val="3.60951506410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42391129680217"/>
          <c:y val="0.16465951446984053"/>
          <c:w val="0.83292302747870806"/>
          <c:h val="0.274251671975668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'Tasa Actuación 2024'!$B$6:$B$10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'Tasa Actuación 2024'!$D$6:$D$10</c:f>
              <c:numCache>
                <c:formatCode>_-* #,##0.0_-;\-* #,##0.0_-;_-* "-"??_-;_-@_-</c:formatCode>
                <c:ptCount val="5"/>
                <c:pt idx="0">
                  <c:v>0.18789333999999999</c:v>
                </c:pt>
                <c:pt idx="1">
                  <c:v>42.977991119999999</c:v>
                </c:pt>
                <c:pt idx="2">
                  <c:v>37.393948990000005</c:v>
                </c:pt>
                <c:pt idx="3">
                  <c:v>8.4793576399999999</c:v>
                </c:pt>
                <c:pt idx="4">
                  <c:v>25.402381440000003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D-418B-87CB-21D6CECCB234}"/>
            </c:ext>
          </c:extLst>
        </c:ser>
        <c:ser>
          <c:idx val="1"/>
          <c:order val="1"/>
          <c:tx>
            <c:strRef>
              <c:f>'Tasa Actuación 2024'!$E$5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  <a:ln w="9525" cap="flat" cmpd="sng" algn="ctr">
              <a:solidFill>
                <a:schemeClr val="accent1"/>
              </a:solidFill>
              <a:round/>
            </a:ln>
            <a:effectLst/>
            <a:sp3d contourW="9525">
              <a:contourClr>
                <a:schemeClr val="accent1"/>
              </a:contourClr>
            </a:sp3d>
          </c:spPr>
          <c:invertIfNegative val="0"/>
          <c:cat>
            <c:strRef>
              <c:f>'Tasa Actuación 2024'!$B$6:$B$10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'Tasa Actuación 2024'!$E$6:$E$10</c:f>
              <c:numCache>
                <c:formatCode>_-* #,##0.0_-;\-* #,##0.0_-;_-* "-"??_-;_-@_-</c:formatCode>
                <c:ptCount val="5"/>
                <c:pt idx="0">
                  <c:v>12.815388070000001</c:v>
                </c:pt>
                <c:pt idx="1">
                  <c:v>87.165453029999995</c:v>
                </c:pt>
                <c:pt idx="2">
                  <c:v>73.456039160000003</c:v>
                </c:pt>
                <c:pt idx="3">
                  <c:v>33.597280900000001</c:v>
                </c:pt>
                <c:pt idx="4">
                  <c:v>101.51159174999999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D-418B-87CB-21D6CECCB234}"/>
            </c:ext>
          </c:extLst>
        </c:ser>
        <c:ser>
          <c:idx val="2"/>
          <c:order val="2"/>
          <c:tx>
            <c:strRef>
              <c:f>'Tasa Actuación 2024'!$G$5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</a:schemeClr>
              </a:contourClr>
            </a:sp3d>
          </c:spPr>
          <c:invertIfNegative val="0"/>
          <c:cat>
            <c:strRef>
              <c:f>'Tasa Actuación 2024'!$B$6:$B$10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'Tasa Actuación 2024'!$G$6:$G$10</c:f>
              <c:numCache>
                <c:formatCode>_-* #,##0.0_-;\-* #,##0.0_-;_-* "-"??_-;_-@_-</c:formatCode>
                <c:ptCount val="5"/>
                <c:pt idx="0">
                  <c:v>42.523093880000005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D-418B-87CB-21D6CECCB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27701760"/>
        <c:axId val="227040576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'Tasa Actuación 2024'!$B$19</c15:sqref>
                        </c15:formulaRef>
                      </c:ext>
                    </c:extLst>
                    <c:strCache>
                      <c:ptCount val="1"/>
                      <c:pt idx="0">
                        <c:v>Var Año Anterior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'Tasa Actuación 2024'!$B$6:$B$10</c15:sqref>
                        </c15:formulaRef>
                      </c:ext>
                    </c:extLst>
                    <c:strCache>
                      <c:ptCount val="5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'Tasa Actuación 2024'!$D$19:$G$19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4.4087514425741992E-2</c:v>
                      </c:pt>
                      <c:pt idx="1">
                        <c:v>0.52643925764351596</c:v>
                      </c:pt>
                      <c:pt idx="2">
                        <c:v>1.8327489260294163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179D-418B-87CB-21D6CECCB23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2024'!$B$22</c15:sqref>
                        </c15:formulaRef>
                      </c:ext>
                    </c:extLst>
                    <c:strCache>
                      <c:ptCount val="1"/>
                      <c:pt idx="0">
                        <c:v>Var 1 mes Año Anterior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2024'!$B$6:$B$10</c15:sqref>
                        </c15:formulaRef>
                      </c:ext>
                    </c:extLst>
                    <c:strCache>
                      <c:ptCount val="5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2024'!$D$22:$G$22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-0.93998809908089265</c:v>
                      </c:pt>
                      <c:pt idx="1">
                        <c:v>67.205653643710846</c:v>
                      </c:pt>
                      <c:pt idx="2">
                        <c:v>8.5510178335161413</c:v>
                      </c:pt>
                      <c:pt idx="3">
                        <c:v>-0.6525891022875816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9D-418B-87CB-21D6CECCB234}"/>
                  </c:ext>
                </c:extLst>
              </c15:ser>
            </c15:filteredBarSeries>
          </c:ext>
        </c:extLst>
      </c:bar3DChart>
      <c:catAx>
        <c:axId val="2277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040576"/>
        <c:crosses val="autoZero"/>
        <c:auto val="1"/>
        <c:lblAlgn val="ctr"/>
        <c:lblOffset val="100"/>
        <c:noMultiLvlLbl val="0"/>
      </c:catAx>
      <c:valAx>
        <c:axId val="2270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Mill. de pesos</a:t>
                </a:r>
              </a:p>
            </c:rich>
          </c:tx>
          <c:layout>
            <c:manualLayout>
              <c:xMode val="edge"/>
              <c:yMode val="edge"/>
              <c:x val="4.3855118110236228E-2"/>
              <c:y val="0.21560792058713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701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658245389105615E-2"/>
          <c:y val="6.5306105658079858E-2"/>
          <c:w val="0.87263133158619477"/>
          <c:h val="0.627275943493249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2024'!$B$19</c:f>
              <c:strCache>
                <c:ptCount val="1"/>
                <c:pt idx="0">
                  <c:v>Var Año Anterior</c:v>
                </c:pt>
              </c:strCache>
            </c:strRef>
          </c:tx>
          <c:spPr>
            <a:solidFill>
              <a:srgbClr val="00FFFF">
                <a:alpha val="85000"/>
              </a:srgb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0"/>
                  <c:y val="0.10687606929973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1D-42E6-BB6B-B0ABED638D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2024'!$D$19:$G$19</c:f>
              <c:numCache>
                <c:formatCode>0%</c:formatCode>
                <c:ptCount val="4"/>
                <c:pt idx="0">
                  <c:v>4.4087514425741992E-2</c:v>
                </c:pt>
                <c:pt idx="1">
                  <c:v>0.52643925764351596</c:v>
                </c:pt>
                <c:pt idx="2">
                  <c:v>1.8327489260294163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D-42E6-BB6B-B0ABED638DC6}"/>
            </c:ext>
          </c:extLst>
        </c:ser>
        <c:ser>
          <c:idx val="1"/>
          <c:order val="1"/>
          <c:tx>
            <c:strRef>
              <c:f>'Tasa Actuación 2024'!$B$22</c:f>
              <c:strCache>
                <c:ptCount val="1"/>
                <c:pt idx="0">
                  <c:v>Var 1 mes Año Anterior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rgbClr val="002060"/>
              </a:solidFill>
              <a:round/>
            </a:ln>
            <a:effectLst/>
            <a:sp3d contourW="9525">
              <a:contourClr>
                <a:srgbClr val="002060"/>
              </a:contourClr>
            </a:sp3d>
          </c:spPr>
          <c:invertIfNegative val="0"/>
          <c:dLbls>
            <c:dLbl>
              <c:idx val="0"/>
              <c:layout>
                <c:manualLayout>
                  <c:x val="2.7710423024699588E-3"/>
                  <c:y val="0.29696969696969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D-42E6-BB6B-B0ABED638DC6}"/>
                </c:ext>
              </c:extLst>
            </c:dLbl>
            <c:dLbl>
              <c:idx val="1"/>
              <c:layout>
                <c:manualLayout>
                  <c:x val="2.7710423024699588E-3"/>
                  <c:y val="0.187878787878787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D-42E6-BB6B-B0ABED638DC6}"/>
                </c:ext>
              </c:extLst>
            </c:dLbl>
            <c:dLbl>
              <c:idx val="3"/>
              <c:layout>
                <c:manualLayout>
                  <c:x val="5.3648455693396167E-4"/>
                  <c:y val="0.15588378518435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2024'!$D$22:$G$22</c:f>
              <c:numCache>
                <c:formatCode>0%</c:formatCode>
                <c:ptCount val="4"/>
                <c:pt idx="0">
                  <c:v>-0.93998809908089265</c:v>
                </c:pt>
                <c:pt idx="1">
                  <c:v>67.205653643710846</c:v>
                </c:pt>
                <c:pt idx="2">
                  <c:v>8.5510178335161413</c:v>
                </c:pt>
                <c:pt idx="3">
                  <c:v>-0.6525891022875816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1D-42E6-BB6B-B0ABED638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shape val="box"/>
        <c:axId val="227703296"/>
        <c:axId val="227902592"/>
        <c:axId val="0"/>
      </c:bar3DChart>
      <c:catAx>
        <c:axId val="22770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902592"/>
        <c:crosses val="autoZero"/>
        <c:auto val="1"/>
        <c:lblAlgn val="ctr"/>
        <c:lblOffset val="100"/>
        <c:noMultiLvlLbl val="0"/>
      </c:catAx>
      <c:valAx>
        <c:axId val="2279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70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400"/>
              <a:t>Recaudación de la Tasa de Actuación ante el TFN </a:t>
            </a:r>
          </a:p>
          <a:p>
            <a:pPr>
              <a:defRPr sz="1400"/>
            </a:pPr>
            <a:r>
              <a:rPr lang="es-AR" sz="1400"/>
              <a:t>Enero a abril - 2021/2023</a:t>
            </a:r>
          </a:p>
        </c:rich>
      </c:tx>
      <c:layout>
        <c:manualLayout>
          <c:xMode val="edge"/>
          <c:yMode val="edge"/>
          <c:x val="0.17356846720690525"/>
          <c:y val="3.609515064105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42391129680217"/>
          <c:y val="0.16465951446984053"/>
          <c:w val="0.83292302747870806"/>
          <c:h val="0.2742516719756684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'Tasa Actuación 2024'!$B$6:$B$9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'Tasa Actuación 2024'!$D$6:$D$9</c:f>
              <c:numCache>
                <c:formatCode>_-* #,##0.0_-;\-* #,##0.0_-;_-* "-"??_-;_-@_-</c:formatCode>
                <c:ptCount val="4"/>
                <c:pt idx="0">
                  <c:v>0.18789333999999999</c:v>
                </c:pt>
                <c:pt idx="1">
                  <c:v>42.977991119999999</c:v>
                </c:pt>
                <c:pt idx="2">
                  <c:v>37.393948990000005</c:v>
                </c:pt>
                <c:pt idx="3">
                  <c:v>8.4793576399999999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1-4C72-BAEF-B09B371E2EAD}"/>
            </c:ext>
          </c:extLst>
        </c:ser>
        <c:ser>
          <c:idx val="1"/>
          <c:order val="1"/>
          <c:tx>
            <c:strRef>
              <c:f>'Tasa Actuación 2024'!$E$5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75000"/>
                <a:alpha val="85000"/>
              </a:schemeClr>
            </a:solidFill>
            <a:ln w="9525" cap="flat" cmpd="sng" algn="ctr">
              <a:solidFill>
                <a:schemeClr val="accent1"/>
              </a:solidFill>
              <a:round/>
            </a:ln>
            <a:effectLst/>
            <a:sp3d contourW="9525">
              <a:contourClr>
                <a:schemeClr val="accent1"/>
              </a:contourClr>
            </a:sp3d>
          </c:spPr>
          <c:invertIfNegative val="0"/>
          <c:cat>
            <c:strRef>
              <c:f>'Tasa Actuación 2024'!$B$6:$B$9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'Tasa Actuación 2024'!$E$6:$E$9</c:f>
              <c:numCache>
                <c:formatCode>_-* #,##0.0_-;\-* #,##0.0_-;_-* "-"??_-;_-@_-</c:formatCode>
                <c:ptCount val="4"/>
                <c:pt idx="0">
                  <c:v>12.815388070000001</c:v>
                </c:pt>
                <c:pt idx="1">
                  <c:v>87.165453029999995</c:v>
                </c:pt>
                <c:pt idx="2">
                  <c:v>73.456039160000003</c:v>
                </c:pt>
                <c:pt idx="3">
                  <c:v>33.597280900000001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1-4C72-BAEF-B09B371E2EAD}"/>
            </c:ext>
          </c:extLst>
        </c:ser>
        <c:ser>
          <c:idx val="2"/>
          <c:order val="2"/>
          <c:tx>
            <c:strRef>
              <c:f>'Tasa Actuación 2024'!$G$5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lumMod val="50000"/>
                <a:alpha val="85000"/>
              </a:schemeClr>
            </a:solidFill>
            <a:ln w="9525" cap="flat" cmpd="sng" algn="ctr">
              <a:solidFill>
                <a:schemeClr val="accent5">
                  <a:lumMod val="50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50000"/>
                </a:schemeClr>
              </a:contourClr>
            </a:sp3d>
          </c:spPr>
          <c:invertIfNegative val="0"/>
          <c:cat>
            <c:strRef>
              <c:f>'Tasa Actuación 2024'!$B$6:$B$9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'Tasa Actuación 2024'!$G$6:$G$9</c:f>
              <c:numCache>
                <c:formatCode>_-* #,##0.0_-;\-* #,##0.0_-;_-* "-"??_-;_-@_-</c:formatCode>
                <c:ptCount val="4"/>
                <c:pt idx="0">
                  <c:v>42.523093880000005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1-4C72-BAEF-B09B371E2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32389632"/>
        <c:axId val="227906048"/>
        <c:axId val="0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'Tasa Actuación 2024'!$B$19</c15:sqref>
                        </c15:formulaRef>
                      </c:ext>
                    </c:extLst>
                    <c:strCache>
                      <c:ptCount val="1"/>
                      <c:pt idx="0">
                        <c:v>Var Año Anterior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'Tasa Actuación 2024'!$B$6:$B$9</c15:sqref>
                        </c15:formulaRef>
                      </c:ext>
                    </c:extLst>
                    <c:strCache>
                      <c:ptCount val="4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'Tasa Actuación 2024'!$D$19:$G$19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4.4087514425741992E-2</c:v>
                      </c:pt>
                      <c:pt idx="1">
                        <c:v>0.52643925764351596</c:v>
                      </c:pt>
                      <c:pt idx="2">
                        <c:v>1.8327489260294163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A81-4C72-BAEF-B09B371E2EA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2024'!$B$22</c15:sqref>
                        </c15:formulaRef>
                      </c:ext>
                    </c:extLst>
                    <c:strCache>
                      <c:ptCount val="1"/>
                      <c:pt idx="0">
                        <c:v>Var 1 mes Año Anterior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accent5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2024'!$B$6:$B$9</c15:sqref>
                        </c15:formulaRef>
                      </c:ext>
                    </c:extLst>
                    <c:strCache>
                      <c:ptCount val="4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'Tasa Actuación 2024'!$D$22:$G$22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-0.93998809908089265</c:v>
                      </c:pt>
                      <c:pt idx="1">
                        <c:v>67.205653643710846</c:v>
                      </c:pt>
                      <c:pt idx="2">
                        <c:v>8.5510178335161413</c:v>
                      </c:pt>
                      <c:pt idx="3">
                        <c:v>-0.6525891022875816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A81-4C72-BAEF-B09B371E2EAD}"/>
                  </c:ext>
                </c:extLst>
              </c15:ser>
            </c15:filteredBarSeries>
          </c:ext>
        </c:extLst>
      </c:bar3DChart>
      <c:catAx>
        <c:axId val="23238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906048"/>
        <c:crosses val="autoZero"/>
        <c:auto val="1"/>
        <c:lblAlgn val="ctr"/>
        <c:lblOffset val="100"/>
        <c:noMultiLvlLbl val="0"/>
      </c:catAx>
      <c:valAx>
        <c:axId val="2279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Mill. de pesos</a:t>
                </a:r>
              </a:p>
            </c:rich>
          </c:tx>
          <c:layout>
            <c:manualLayout>
              <c:xMode val="edge"/>
              <c:yMode val="edge"/>
              <c:x val="4.3855118110236228E-2"/>
              <c:y val="0.21560792058713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2389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658245389105615E-2"/>
          <c:y val="6.5306105658079858E-2"/>
          <c:w val="0.87263133158619477"/>
          <c:h val="0.6272759434932493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'Tasa Actuación 2024'!$B$19</c:f>
              <c:strCache>
                <c:ptCount val="1"/>
                <c:pt idx="0">
                  <c:v>Var Año Anterior</c:v>
                </c:pt>
              </c:strCache>
            </c:strRef>
          </c:tx>
          <c:spPr>
            <a:solidFill>
              <a:srgbClr val="33CCFF">
                <a:alpha val="85000"/>
              </a:srgb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5.080185534458121E-17"/>
                  <c:y val="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5-4A84-A3E3-CE3430F35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2024'!$D$19:$G$19</c:f>
              <c:numCache>
                <c:formatCode>0%</c:formatCode>
                <c:ptCount val="4"/>
                <c:pt idx="0">
                  <c:v>4.4087514425741992E-2</c:v>
                </c:pt>
                <c:pt idx="1">
                  <c:v>0.52643925764351596</c:v>
                </c:pt>
                <c:pt idx="2">
                  <c:v>1.8327489260294163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5-4A84-A3E3-CE3430F35815}"/>
            </c:ext>
          </c:extLst>
        </c:ser>
        <c:ser>
          <c:idx val="1"/>
          <c:order val="1"/>
          <c:tx>
            <c:strRef>
              <c:f>'Tasa Actuación 2024'!$B$22</c:f>
              <c:strCache>
                <c:ptCount val="1"/>
                <c:pt idx="0">
                  <c:v>Var 1 mes Año Anterior</c:v>
                </c:pt>
              </c:strCache>
            </c:strRef>
          </c:tx>
          <c:spPr>
            <a:solidFill>
              <a:srgbClr val="0099FF">
                <a:alpha val="85000"/>
              </a:srgbClr>
            </a:solidFill>
            <a:ln w="9525" cap="flat" cmpd="sng" algn="ctr">
              <a:solidFill>
                <a:srgbClr val="0099FF"/>
              </a:solidFill>
              <a:round/>
            </a:ln>
            <a:effectLst/>
            <a:sp3d contourW="9525">
              <a:contourClr>
                <a:srgbClr val="0099FF"/>
              </a:contourClr>
            </a:sp3d>
          </c:spPr>
          <c:invertIfNegative val="0"/>
          <c:dLbls>
            <c:dLbl>
              <c:idx val="0"/>
              <c:layout>
                <c:manualLayout>
                  <c:x val="2.7710423024699588E-3"/>
                  <c:y val="0.29696969696969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95-4A84-A3E3-CE3430F35815}"/>
                </c:ext>
              </c:extLst>
            </c:dLbl>
            <c:dLbl>
              <c:idx val="1"/>
              <c:layout>
                <c:manualLayout>
                  <c:x val="2.7710423024699588E-3"/>
                  <c:y val="0.187878787878787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95-4A84-A3E3-CE3430F35815}"/>
                </c:ext>
              </c:extLst>
            </c:dLbl>
            <c:dLbl>
              <c:idx val="3"/>
              <c:layout>
                <c:manualLayout>
                  <c:x val="2.7710423024699588E-3"/>
                  <c:y val="0.248484848484848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'Tasa Actuación 2024'!$D$5:$G$5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'Tasa Actuación 2024'!$D$22:$G$22</c:f>
              <c:numCache>
                <c:formatCode>0%</c:formatCode>
                <c:ptCount val="4"/>
                <c:pt idx="0">
                  <c:v>-0.93998809908089265</c:v>
                </c:pt>
                <c:pt idx="1">
                  <c:v>67.205653643710846</c:v>
                </c:pt>
                <c:pt idx="2">
                  <c:v>8.5510178335161413</c:v>
                </c:pt>
                <c:pt idx="3">
                  <c:v>-0.6525891022875816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95-4A84-A3E3-CE3430F35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shape val="box"/>
        <c:axId val="231038976"/>
        <c:axId val="227907776"/>
        <c:axId val="0"/>
      </c:bar3DChart>
      <c:catAx>
        <c:axId val="23103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27907776"/>
        <c:crosses val="autoZero"/>
        <c:auto val="1"/>
        <c:lblAlgn val="ctr"/>
        <c:lblOffset val="100"/>
        <c:noMultiLvlLbl val="0"/>
      </c:catAx>
      <c:valAx>
        <c:axId val="22790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10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0</xdr:row>
      <xdr:rowOff>132787</xdr:rowOff>
    </xdr:from>
    <xdr:to>
      <xdr:col>13</xdr:col>
      <xdr:colOff>384313</xdr:colOff>
      <xdr:row>43</xdr:row>
      <xdr:rowOff>174494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85444" y="132787"/>
          <a:ext cx="7694751" cy="8029260"/>
          <a:chOff x="5619750" y="146039"/>
          <a:chExt cx="5715000" cy="5140337"/>
        </a:xfrm>
        <a:solidFill>
          <a:schemeClr val="bg1">
            <a:lumMod val="85000"/>
          </a:schemeClr>
        </a:solidFill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/>
        </xdr:nvGraphicFramePr>
        <xdr:xfrm>
          <a:off x="5619750" y="146039"/>
          <a:ext cx="5715000" cy="51403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/>
        </xdr:nvGraphicFramePr>
        <xdr:xfrm>
          <a:off x="5635624" y="3341688"/>
          <a:ext cx="5699126" cy="1944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</xdr:col>
      <xdr:colOff>8965</xdr:colOff>
      <xdr:row>43</xdr:row>
      <xdr:rowOff>170329</xdr:rowOff>
    </xdr:from>
    <xdr:to>
      <xdr:col>13</xdr:col>
      <xdr:colOff>385483</xdr:colOff>
      <xdr:row>49</xdr:row>
      <xdr:rowOff>43714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647" y="8157882"/>
          <a:ext cx="7691718" cy="949150"/>
        </a:xfrm>
        <a:prstGeom prst="rect">
          <a:avLst/>
        </a:prstGeom>
        <a:gradFill flip="none" rotWithShape="1">
          <a:gsLst>
            <a:gs pos="0">
              <a:schemeClr val="bg1">
                <a:lumMod val="95000"/>
              </a:schemeClr>
            </a:gs>
            <a:gs pos="74000">
              <a:schemeClr val="bg1">
                <a:lumMod val="85000"/>
              </a:schemeClr>
            </a:gs>
            <a:gs pos="83000">
              <a:schemeClr val="bg1">
                <a:lumMod val="85000"/>
              </a:schemeClr>
            </a:gs>
            <a:gs pos="100000">
              <a:schemeClr val="bg1">
                <a:lumMod val="85000"/>
              </a:schemeClr>
            </a:gs>
          </a:gsLst>
          <a:path path="rect">
            <a:fillToRect l="100000" t="100000"/>
          </a:path>
          <a:tileRect r="-100000" b="-100000"/>
        </a:gra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AR" sz="900" u="sng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Destino de la Recaudación</a:t>
          </a:r>
          <a:r>
            <a:rPr lang="es-AR" sz="900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: La recaudación de la tasa ingresa a la Tesorería General de la Nación, dependiente de la Subsecretaría de Presupuesto de la Secretaría de Hacienda (art. 12 de la ley 25.964).</a:t>
          </a:r>
        </a:p>
        <a:p>
          <a:pPr algn="l"/>
          <a:endParaRPr lang="es-AR" sz="900">
            <a:solidFill>
              <a:schemeClr val="accent3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AR" sz="800" i="1" u="sng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Fuente</a:t>
          </a:r>
          <a:r>
            <a:rPr lang="es-AR" sz="800" i="1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: Secretaría General de Asuntos Jurisdiccionales en base a datos provistos por la AFIP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0</xdr:row>
      <xdr:rowOff>146039</xdr:rowOff>
    </xdr:from>
    <xdr:to>
      <xdr:col>10</xdr:col>
      <xdr:colOff>7937</xdr:colOff>
      <xdr:row>30</xdr:row>
      <xdr:rowOff>87301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80962" y="149214"/>
          <a:ext cx="5321300" cy="5897562"/>
          <a:chOff x="5619750" y="146039"/>
          <a:chExt cx="5715000" cy="5767387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/>
        </xdr:nvGraphicFramePr>
        <xdr:xfrm>
          <a:off x="5619750" y="146039"/>
          <a:ext cx="5715000" cy="51403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aphicFramePr/>
        </xdr:nvGraphicFramePr>
        <xdr:xfrm>
          <a:off x="5635624" y="3341688"/>
          <a:ext cx="5699126" cy="1944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5627688" y="5294301"/>
            <a:ext cx="5707062" cy="61912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74000">
                <a:schemeClr val="bg1">
                  <a:lumMod val="85000"/>
                </a:schemeClr>
              </a:gs>
              <a:gs pos="83000">
                <a:schemeClr val="bg1">
                  <a:lumMod val="85000"/>
                </a:schemeClr>
              </a:gs>
              <a:gs pos="100000">
                <a:schemeClr val="bg1">
                  <a:lumMod val="85000"/>
                </a:schemeClr>
              </a:gs>
            </a:gsLst>
            <a:path path="rect">
              <a:fillToRect l="100000" t="100000"/>
            </a:path>
            <a:tileRect r="-100000" b="-100000"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AR" sz="900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Destino de la Recaudación</a:t>
            </a:r>
            <a:r>
              <a:rPr lang="es-AR" sz="900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La recaudación de la tasa ingresa a la Tesorería General de la Nación, dependiente de la Subsecretaría de Presupuesto de la Secretaría de Hacienda (art. 12 de la ley 25.964).</a:t>
            </a:r>
          </a:p>
          <a:p>
            <a:pPr algn="l"/>
            <a:endParaRPr lang="es-AR" sz="900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r>
              <a:rPr lang="es-AR" sz="800" i="1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Fuente</a:t>
            </a:r>
            <a:r>
              <a:rPr lang="es-AR" sz="800" i="1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Secretaría General de Asuntos Jurisdiccionales en base a datos provistos por la AFIP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0</xdr:row>
      <xdr:rowOff>146039</xdr:rowOff>
    </xdr:from>
    <xdr:to>
      <xdr:col>10</xdr:col>
      <xdr:colOff>7937</xdr:colOff>
      <xdr:row>30</xdr:row>
      <xdr:rowOff>87301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80962" y="149214"/>
          <a:ext cx="5321300" cy="5897562"/>
          <a:chOff x="5619750" y="146039"/>
          <a:chExt cx="5715000" cy="5767387"/>
        </a:xfrm>
      </xdr:grpSpPr>
      <xdr:graphicFrame macro="">
        <xdr:nvGraphicFramePr>
          <xdr:cNvPr id="3" name="Chart 1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aphicFramePr/>
        </xdr:nvGraphicFramePr>
        <xdr:xfrm>
          <a:off x="5619750" y="146039"/>
          <a:ext cx="5715000" cy="51403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/>
        </xdr:nvGraphicFramePr>
        <xdr:xfrm>
          <a:off x="5635624" y="3341688"/>
          <a:ext cx="5699126" cy="1944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5627688" y="5294301"/>
            <a:ext cx="5707062" cy="61912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74000">
                <a:schemeClr val="bg1">
                  <a:lumMod val="85000"/>
                </a:schemeClr>
              </a:gs>
              <a:gs pos="83000">
                <a:schemeClr val="bg1">
                  <a:lumMod val="85000"/>
                </a:schemeClr>
              </a:gs>
              <a:gs pos="100000">
                <a:schemeClr val="bg1">
                  <a:lumMod val="85000"/>
                </a:schemeClr>
              </a:gs>
            </a:gsLst>
            <a:path path="rect">
              <a:fillToRect l="100000" t="100000"/>
            </a:path>
            <a:tileRect r="-100000" b="-100000"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AR" sz="900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Destino de la Recaudación</a:t>
            </a:r>
            <a:r>
              <a:rPr lang="es-AR" sz="900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La recaudación de la tasa ingresa a la Tesorería General de la Nación, dependiente de la Subsecretaría de Presupuesto de la Secretaría de Hacienda (art. 12 de la ley 25.964).</a:t>
            </a:r>
          </a:p>
          <a:p>
            <a:pPr algn="l"/>
            <a:endParaRPr lang="es-AR" sz="900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r>
              <a:rPr lang="es-AR" sz="800" i="1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Fuente</a:t>
            </a:r>
            <a:r>
              <a:rPr lang="es-AR" sz="800" i="1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Secretaría General de Asuntos Jurisdiccionales en base a datos provistos por la AFIP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0</xdr:row>
      <xdr:rowOff>146039</xdr:rowOff>
    </xdr:from>
    <xdr:to>
      <xdr:col>10</xdr:col>
      <xdr:colOff>7937</xdr:colOff>
      <xdr:row>30</xdr:row>
      <xdr:rowOff>87301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404812" y="149214"/>
          <a:ext cx="5511800" cy="5897562"/>
          <a:chOff x="5619750" y="146039"/>
          <a:chExt cx="5715000" cy="5767387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GraphicFramePr/>
        </xdr:nvGraphicFramePr>
        <xdr:xfrm>
          <a:off x="5619750" y="146039"/>
          <a:ext cx="5715000" cy="51403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aphicFramePr/>
        </xdr:nvGraphicFramePr>
        <xdr:xfrm>
          <a:off x="5635624" y="3341688"/>
          <a:ext cx="5699126" cy="19446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5627688" y="5294301"/>
            <a:ext cx="5707062" cy="619125"/>
          </a:xfrm>
          <a:prstGeom prst="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74000">
                <a:schemeClr val="bg1">
                  <a:lumMod val="85000"/>
                </a:schemeClr>
              </a:gs>
              <a:gs pos="83000">
                <a:schemeClr val="bg1">
                  <a:lumMod val="85000"/>
                </a:schemeClr>
              </a:gs>
              <a:gs pos="100000">
                <a:schemeClr val="bg1">
                  <a:lumMod val="85000"/>
                </a:schemeClr>
              </a:gs>
            </a:gsLst>
            <a:path path="rect">
              <a:fillToRect l="100000" t="100000"/>
            </a:path>
            <a:tileRect r="-100000" b="-100000"/>
          </a:gra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AR" sz="900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Destino de la Recaudación</a:t>
            </a:r>
            <a:r>
              <a:rPr lang="es-AR" sz="900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La recaudación de la tasa ingresa a la Tesorería General de la Nación, dependiente de la Subsecretaría de Presupuesto de la Secretaría de Hacienda (art. 12 de la ley 25.964).</a:t>
            </a:r>
          </a:p>
          <a:p>
            <a:pPr algn="l"/>
            <a:endParaRPr lang="es-AR" sz="900">
              <a:solidFill>
                <a:schemeClr val="accent3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r>
              <a:rPr lang="es-AR" sz="800" i="1" u="sng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Fuente</a:t>
            </a:r>
            <a:r>
              <a:rPr lang="es-AR" sz="800" i="1">
                <a:solidFill>
                  <a:schemeClr val="accent3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 Secretaría General de Asuntos Jurisdiccionales en base a datos provistos por la AFIP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22"/>
  <sheetViews>
    <sheetView showGridLines="0" tabSelected="1" topLeftCell="B21" zoomScale="85" zoomScaleNormal="85" workbookViewId="0">
      <selection activeCell="R36" sqref="R36"/>
    </sheetView>
  </sheetViews>
  <sheetFormatPr baseColWidth="10" defaultColWidth="8.88671875" defaultRowHeight="14.4" x14ac:dyDescent="0.3"/>
  <cols>
    <col min="1" max="1" width="1.109375" style="90" customWidth="1"/>
    <col min="2" max="16384" width="8.88671875" style="90"/>
  </cols>
  <sheetData>
    <row r="3" ht="41.7" customHeight="1" x14ac:dyDescent="0.3"/>
    <row r="4" ht="19.95" customHeight="1" x14ac:dyDescent="0.3"/>
    <row r="20" s="58" customFormat="1" ht="3" customHeight="1" x14ac:dyDescent="0.3"/>
    <row r="21" s="58" customFormat="1" x14ac:dyDescent="0.3"/>
    <row r="22" s="58" customFormat="1" x14ac:dyDescent="0.3"/>
  </sheetData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workbookViewId="0">
      <selection activeCell="K10" sqref="K10"/>
    </sheetView>
  </sheetViews>
  <sheetFormatPr baseColWidth="10" defaultColWidth="10.88671875" defaultRowHeight="14.4" x14ac:dyDescent="0.3"/>
  <cols>
    <col min="2" max="2" width="21.6640625" customWidth="1"/>
    <col min="3" max="3" width="10.21875" customWidth="1"/>
    <col min="4" max="4" width="9.109375" bestFit="1" customWidth="1"/>
    <col min="5" max="5" width="9.88671875" customWidth="1"/>
    <col min="6" max="6" width="10" style="90" customWidth="1"/>
    <col min="7" max="7" width="9.21875" customWidth="1"/>
  </cols>
  <sheetData>
    <row r="1" spans="2:10" ht="15" thickBot="1" x14ac:dyDescent="0.35">
      <c r="B1" s="15"/>
      <c r="C1" s="15"/>
      <c r="D1" s="15"/>
      <c r="E1" s="15"/>
      <c r="G1" s="15"/>
    </row>
    <row r="2" spans="2:10" ht="18" x14ac:dyDescent="0.35">
      <c r="B2" s="64" t="s">
        <v>31</v>
      </c>
      <c r="C2" s="65"/>
      <c r="D2" s="65"/>
      <c r="E2" s="65"/>
      <c r="F2" s="65"/>
      <c r="G2" s="66"/>
    </row>
    <row r="3" spans="2:10" ht="42" customHeight="1" x14ac:dyDescent="0.3">
      <c r="B3" s="110" t="s">
        <v>33</v>
      </c>
      <c r="C3" s="111"/>
      <c r="D3" s="111"/>
      <c r="E3" s="111"/>
      <c r="F3" s="111"/>
      <c r="G3" s="112"/>
    </row>
    <row r="4" spans="2:10" x14ac:dyDescent="0.3">
      <c r="B4" s="84" t="s">
        <v>30</v>
      </c>
      <c r="C4" s="62"/>
      <c r="D4" s="62"/>
      <c r="E4" s="62"/>
      <c r="F4" s="62"/>
      <c r="G4" s="67"/>
    </row>
    <row r="5" spans="2:10" x14ac:dyDescent="0.3">
      <c r="B5" s="68"/>
      <c r="C5" s="69">
        <f>+TFN!P3</f>
        <v>2020</v>
      </c>
      <c r="D5" s="69">
        <f>+TFN!R3</f>
        <v>2021</v>
      </c>
      <c r="E5" s="69">
        <f>+TFN!T3</f>
        <v>2022</v>
      </c>
      <c r="F5" s="69">
        <f>+TFN!V3</f>
        <v>2023</v>
      </c>
      <c r="G5" s="70">
        <f>+TFN!X3</f>
        <v>2024</v>
      </c>
    </row>
    <row r="6" spans="2:10" x14ac:dyDescent="0.3">
      <c r="B6" s="71" t="s">
        <v>4</v>
      </c>
      <c r="C6" s="72">
        <f>+TFN!P4/1000000</f>
        <v>3.1309346499999999</v>
      </c>
      <c r="D6" s="72">
        <f>+TFN!R4/1000000</f>
        <v>0.18789333999999999</v>
      </c>
      <c r="E6" s="72">
        <f>+TFN!T4/1000000</f>
        <v>12.815388070000001</v>
      </c>
      <c r="F6" s="122">
        <v>122.4</v>
      </c>
      <c r="G6" s="86">
        <f>+TFN!X4/1000000</f>
        <v>42.523093880000005</v>
      </c>
      <c r="J6" s="126"/>
    </row>
    <row r="7" spans="2:10" x14ac:dyDescent="0.3">
      <c r="B7" s="71" t="s">
        <v>5</v>
      </c>
      <c r="C7" s="72">
        <f>+TFN!P5/1000000</f>
        <v>12.78880805</v>
      </c>
      <c r="D7" s="72">
        <f>+TFN!R5/1000000</f>
        <v>42.977991119999999</v>
      </c>
      <c r="E7" s="72">
        <f>+TFN!T5/1000000</f>
        <v>87.165453029999995</v>
      </c>
      <c r="F7" s="123">
        <v>192.6</v>
      </c>
      <c r="G7" s="87"/>
      <c r="J7" s="126"/>
    </row>
    <row r="8" spans="2:10" x14ac:dyDescent="0.3">
      <c r="B8" s="71" t="s">
        <v>6</v>
      </c>
      <c r="C8" s="72">
        <f>+TFN!P6/1000000</f>
        <v>11.16150154</v>
      </c>
      <c r="D8" s="72">
        <f>+TFN!R6/1000000</f>
        <v>37.393948990000005</v>
      </c>
      <c r="E8" s="72">
        <f>+TFN!T6/1000000</f>
        <v>73.456039160000003</v>
      </c>
      <c r="F8" s="122">
        <v>123.1</v>
      </c>
      <c r="G8" s="86"/>
      <c r="J8" s="125"/>
    </row>
    <row r="9" spans="2:10" x14ac:dyDescent="0.3">
      <c r="B9" s="71" t="s">
        <v>7</v>
      </c>
      <c r="C9" s="72">
        <f>+TFN!P7/1000000</f>
        <v>0.87786686000000003</v>
      </c>
      <c r="D9" s="72">
        <f>+TFN!R7/1000000</f>
        <v>8.4793576399999999</v>
      </c>
      <c r="E9" s="72">
        <f>+TFN!T7/1000000</f>
        <v>33.597280900000001</v>
      </c>
      <c r="F9" s="122">
        <v>120.4</v>
      </c>
      <c r="G9" s="86"/>
      <c r="J9" s="126"/>
    </row>
    <row r="10" spans="2:10" x14ac:dyDescent="0.3">
      <c r="B10" s="71" t="s">
        <v>8</v>
      </c>
      <c r="C10" s="72">
        <f>+TFN!P8/1000000</f>
        <v>3.4283054700000002</v>
      </c>
      <c r="D10" s="72">
        <f>+TFN!R8/1000000</f>
        <v>25.402381440000003</v>
      </c>
      <c r="E10" s="72">
        <f>+TFN!T8/1000000</f>
        <v>101.51159174999999</v>
      </c>
      <c r="F10" s="122">
        <v>86</v>
      </c>
      <c r="G10" s="86"/>
      <c r="J10" s="125"/>
    </row>
    <row r="11" spans="2:10" x14ac:dyDescent="0.3">
      <c r="B11" s="71" t="s">
        <v>9</v>
      </c>
      <c r="C11" s="72">
        <f>+TFN!P9/1000000</f>
        <v>1.9903033000000001</v>
      </c>
      <c r="D11" s="72">
        <f>+TFN!R9/1000000</f>
        <v>31.405523809999998</v>
      </c>
      <c r="E11" s="72">
        <f>+TFN!T9/1000000</f>
        <v>23.12092474</v>
      </c>
      <c r="F11" s="122">
        <v>344.7</v>
      </c>
      <c r="G11" s="86"/>
      <c r="J11" s="125"/>
    </row>
    <row r="12" spans="2:10" x14ac:dyDescent="0.3">
      <c r="B12" s="74" t="s">
        <v>10</v>
      </c>
      <c r="C12" s="72">
        <f>+TFN!P10/1000000</f>
        <v>6.4501741799999994</v>
      </c>
      <c r="D12" s="72">
        <f>+TFN!R10/1000000</f>
        <v>26.661292570000001</v>
      </c>
      <c r="E12" s="72">
        <f>+TFN!T10/1000000</f>
        <v>11.85972598</v>
      </c>
      <c r="F12" s="72">
        <v>83.183999999999997</v>
      </c>
      <c r="G12" s="73"/>
      <c r="J12" s="125"/>
    </row>
    <row r="13" spans="2:10" x14ac:dyDescent="0.3">
      <c r="B13" s="74" t="s">
        <v>11</v>
      </c>
      <c r="C13" s="72">
        <f>+TFN!P11/1000000</f>
        <v>130.91314509</v>
      </c>
      <c r="D13" s="72">
        <f>+TFN!R11/1000000</f>
        <v>185.69888992</v>
      </c>
      <c r="E13" s="72">
        <f>+TFN!T11/1000000</f>
        <v>78.464729689999999</v>
      </c>
      <c r="F13" s="72">
        <v>90.172828289999998</v>
      </c>
      <c r="G13" s="73"/>
      <c r="J13" s="125"/>
    </row>
    <row r="14" spans="2:10" x14ac:dyDescent="0.3">
      <c r="B14" s="74" t="s">
        <v>12</v>
      </c>
      <c r="C14" s="72">
        <f>+TFN!P12/1000000</f>
        <v>137.68617433</v>
      </c>
      <c r="D14" s="72">
        <f>+TFN!R12/1000000</f>
        <v>54.416992520000001</v>
      </c>
      <c r="E14" s="72">
        <f>+TFN!T12/1000000</f>
        <v>75.197720069999988</v>
      </c>
      <c r="F14" s="72">
        <v>478.29662764</v>
      </c>
      <c r="G14" s="73"/>
      <c r="J14" s="125"/>
    </row>
    <row r="15" spans="2:10" x14ac:dyDescent="0.3">
      <c r="B15" s="74" t="s">
        <v>13</v>
      </c>
      <c r="C15" s="72">
        <f>+TFN!P13/1000000</f>
        <v>25.212394329999999</v>
      </c>
      <c r="D15" s="72">
        <f>+TFN!R13/1000000</f>
        <v>25</v>
      </c>
      <c r="E15" s="72">
        <f>+TFN!T13/1000000</f>
        <v>86.962230939999998</v>
      </c>
      <c r="F15" s="72">
        <v>273.24934679</v>
      </c>
      <c r="G15" s="73"/>
      <c r="J15" s="125"/>
    </row>
    <row r="16" spans="2:10" x14ac:dyDescent="0.3">
      <c r="B16" s="71" t="s">
        <v>14</v>
      </c>
      <c r="C16" s="72">
        <f>+TFN!P14/1000000</f>
        <v>110.20414698</v>
      </c>
      <c r="D16" s="72">
        <f>+TFN!R14/1000000</f>
        <v>23.905923510000001</v>
      </c>
      <c r="E16" s="72">
        <f>+TFN!T14/1000000</f>
        <v>52.4556489</v>
      </c>
      <c r="F16" s="72">
        <v>110.05469013</v>
      </c>
      <c r="G16" s="73"/>
      <c r="J16" s="125"/>
    </row>
    <row r="17" spans="2:10" x14ac:dyDescent="0.3">
      <c r="B17" s="71" t="s">
        <v>15</v>
      </c>
      <c r="C17" s="72">
        <f>+TFN!P15/1000000</f>
        <v>28.315027839999999</v>
      </c>
      <c r="D17" s="72">
        <f>+TFN!R15/1000000</f>
        <v>31.444894899999998</v>
      </c>
      <c r="E17" s="72">
        <f>+TFN!T15/1000000</f>
        <v>115.88979681999999</v>
      </c>
      <c r="F17" s="72">
        <v>107.47624449</v>
      </c>
      <c r="G17" s="73"/>
      <c r="J17" s="125"/>
    </row>
    <row r="18" spans="2:10" x14ac:dyDescent="0.3">
      <c r="B18" s="68" t="s">
        <v>17</v>
      </c>
      <c r="C18" s="75">
        <f>+SUM(C6:C17)</f>
        <v>472.15878262000001</v>
      </c>
      <c r="D18" s="75">
        <f>+SUM(D6:D17)</f>
        <v>492.97508976</v>
      </c>
      <c r="E18" s="75">
        <f>+SUM(E6:E17)</f>
        <v>752.49653005000005</v>
      </c>
      <c r="F18" s="75">
        <f>+SUM(F6:F17)</f>
        <v>2131.6337373400002</v>
      </c>
      <c r="G18" s="75">
        <f>+SUM(G6:G17)</f>
        <v>42.523093880000005</v>
      </c>
    </row>
    <row r="19" spans="2:10" x14ac:dyDescent="0.3">
      <c r="B19" s="76" t="s">
        <v>34</v>
      </c>
      <c r="C19" s="77"/>
      <c r="D19" s="77">
        <f>+D18/C18-1</f>
        <v>4.4087514425741992E-2</v>
      </c>
      <c r="E19" s="77">
        <f>+E18/D18-1</f>
        <v>0.52643925764351596</v>
      </c>
      <c r="F19" s="77">
        <f>+F18/E18-1</f>
        <v>1.8327489260294163</v>
      </c>
      <c r="G19" s="124"/>
    </row>
    <row r="20" spans="2:10" ht="15" thickBot="1" x14ac:dyDescent="0.35">
      <c r="B20" s="78"/>
      <c r="C20" s="79"/>
      <c r="D20" s="79"/>
      <c r="E20" s="79"/>
      <c r="F20" s="79"/>
      <c r="G20" s="80"/>
    </row>
    <row r="21" spans="2:10" x14ac:dyDescent="0.3">
      <c r="B21" s="59" t="s">
        <v>36</v>
      </c>
      <c r="C21" s="60">
        <f>+SUM(C6)</f>
        <v>3.1309346499999999</v>
      </c>
      <c r="D21" s="60">
        <f t="shared" ref="D21:G21" si="0">+SUM(D6)</f>
        <v>0.18789333999999999</v>
      </c>
      <c r="E21" s="60">
        <f t="shared" si="0"/>
        <v>12.815388070000001</v>
      </c>
      <c r="F21" s="60">
        <f t="shared" si="0"/>
        <v>122.4</v>
      </c>
      <c r="G21" s="61">
        <f t="shared" si="0"/>
        <v>42.523093880000005</v>
      </c>
    </row>
    <row r="22" spans="2:10" ht="15" thickBot="1" x14ac:dyDescent="0.35">
      <c r="B22" s="63" t="s">
        <v>35</v>
      </c>
      <c r="C22" s="85"/>
      <c r="D22" s="130">
        <f>+D21/C21-1</f>
        <v>-0.93998809908089265</v>
      </c>
      <c r="E22" s="130">
        <f>+E21/D21-1</f>
        <v>67.205653643710846</v>
      </c>
      <c r="F22" s="130">
        <f>+F21/E21-1</f>
        <v>8.5510178335161413</v>
      </c>
      <c r="G22" s="131">
        <f>+G21/F21-1</f>
        <v>-0.6525891022875816</v>
      </c>
    </row>
    <row r="23" spans="2:10" ht="15" thickBot="1" x14ac:dyDescent="0.35">
      <c r="B23" s="81" t="s">
        <v>32</v>
      </c>
      <c r="C23" s="82"/>
      <c r="D23" s="82"/>
      <c r="E23" s="82"/>
      <c r="F23" s="82"/>
      <c r="G23" s="83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2"/>
  <sheetViews>
    <sheetView showGridLines="0" topLeftCell="A2" zoomScaleNormal="100" workbookViewId="0">
      <selection activeCell="J2" sqref="J2"/>
    </sheetView>
  </sheetViews>
  <sheetFormatPr baseColWidth="10" defaultColWidth="8.88671875" defaultRowHeight="14.4" x14ac:dyDescent="0.3"/>
  <cols>
    <col min="1" max="1" width="1.109375" style="15" customWidth="1"/>
    <col min="2" max="16384" width="8.88671875" style="15"/>
  </cols>
  <sheetData>
    <row r="3" ht="41.7" customHeight="1" x14ac:dyDescent="0.3"/>
    <row r="4" ht="19.95" customHeight="1" x14ac:dyDescent="0.3"/>
    <row r="20" s="58" customFormat="1" ht="3" customHeight="1" x14ac:dyDescent="0.3"/>
    <row r="21" s="58" customFormat="1" x14ac:dyDescent="0.3"/>
    <row r="22" s="58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4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W14" sqref="V14:W15"/>
    </sheetView>
  </sheetViews>
  <sheetFormatPr baseColWidth="10" defaultColWidth="9.33203125" defaultRowHeight="14.4" x14ac:dyDescent="0.3"/>
  <cols>
    <col min="1" max="1" width="3.5546875" customWidth="1"/>
    <col min="2" max="2" width="29.44140625" customWidth="1"/>
    <col min="3" max="3" width="14.6640625" style="2" hidden="1" customWidth="1"/>
    <col min="4" max="4" width="13.5546875" hidden="1" customWidth="1"/>
    <col min="5" max="6" width="14.5546875" hidden="1" customWidth="1"/>
    <col min="7" max="7" width="13.5546875" hidden="1" customWidth="1"/>
    <col min="8" max="9" width="12.33203125" hidden="1" customWidth="1"/>
    <col min="10" max="10" width="13.6640625" hidden="1" customWidth="1"/>
    <col min="11" max="11" width="5.44140625" style="15" hidden="1" customWidth="1"/>
    <col min="12" max="12" width="13.6640625" hidden="1" customWidth="1"/>
    <col min="13" max="13" width="4.5546875" style="15" hidden="1" customWidth="1"/>
    <col min="14" max="14" width="14.6640625" bestFit="1" customWidth="1"/>
    <col min="15" max="15" width="4.5546875" style="15" bestFit="1" customWidth="1"/>
    <col min="16" max="16" width="14.6640625" bestFit="1" customWidth="1"/>
    <col min="17" max="17" width="4.5546875" style="15" bestFit="1" customWidth="1"/>
    <col min="18" max="18" width="15" bestFit="1" customWidth="1"/>
    <col min="19" max="19" width="4.5546875" style="15" customWidth="1"/>
    <col min="20" max="20" width="16.33203125" bestFit="1" customWidth="1"/>
    <col min="21" max="21" width="4.44140625" customWidth="1"/>
    <col min="22" max="22" width="14" bestFit="1" customWidth="1"/>
    <col min="23" max="23" width="5.21875" style="15" customWidth="1"/>
    <col min="24" max="24" width="13.44140625" style="90" bestFit="1" customWidth="1"/>
    <col min="25" max="25" width="5.21875" style="90" customWidth="1"/>
    <col min="26" max="27" width="3.44140625" style="15" customWidth="1"/>
    <col min="28" max="29" width="4.5546875" customWidth="1"/>
    <col min="30" max="30" width="13.6640625" bestFit="1" customWidth="1"/>
  </cols>
  <sheetData>
    <row r="1" spans="2:30" x14ac:dyDescent="0.3"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3" spans="2:30" x14ac:dyDescent="0.3">
      <c r="B3" s="12" t="s">
        <v>17</v>
      </c>
      <c r="C3" s="11">
        <v>2010</v>
      </c>
      <c r="D3" s="12">
        <v>2011</v>
      </c>
      <c r="E3" s="12">
        <v>2012</v>
      </c>
      <c r="F3" s="12">
        <v>2013</v>
      </c>
      <c r="G3" s="12">
        <v>2014</v>
      </c>
      <c r="H3" s="12">
        <v>2015</v>
      </c>
      <c r="I3" s="12">
        <v>2016</v>
      </c>
      <c r="J3" s="12">
        <v>2017</v>
      </c>
      <c r="K3" s="12"/>
      <c r="L3" s="12">
        <v>2018</v>
      </c>
      <c r="M3" s="12"/>
      <c r="N3" s="12">
        <v>2019</v>
      </c>
      <c r="O3" s="12"/>
      <c r="P3" s="12">
        <v>2020</v>
      </c>
      <c r="Q3" s="12"/>
      <c r="R3" s="12">
        <v>2021</v>
      </c>
      <c r="S3" s="12"/>
      <c r="T3" s="12">
        <v>2022</v>
      </c>
      <c r="U3" s="12"/>
      <c r="V3" s="38">
        <v>2023</v>
      </c>
      <c r="W3" s="12"/>
      <c r="X3" s="12">
        <v>2024</v>
      </c>
      <c r="Y3" s="12"/>
      <c r="AB3" t="s">
        <v>16</v>
      </c>
      <c r="AD3" s="54"/>
    </row>
    <row r="4" spans="2:30" x14ac:dyDescent="0.3">
      <c r="B4" s="9" t="s">
        <v>4</v>
      </c>
      <c r="J4" s="3">
        <v>1228763.71</v>
      </c>
      <c r="K4" s="13">
        <f>+J4/$J$16</f>
        <v>6.7557698436146001E-3</v>
      </c>
      <c r="L4" s="3">
        <v>2021062.03</v>
      </c>
      <c r="M4" s="13">
        <f>+L4/$L$16</f>
        <v>9.6044419626105226E-3</v>
      </c>
      <c r="N4" s="3">
        <v>2664379.88</v>
      </c>
      <c r="O4" s="13">
        <f>+N4/$N$16</f>
        <v>5.3420096412805191E-3</v>
      </c>
      <c r="P4" s="3">
        <v>3130934.65</v>
      </c>
      <c r="Q4" s="13">
        <f>+P4/$P$16</f>
        <v>6.6311053934579034E-3</v>
      </c>
      <c r="R4" s="3">
        <v>187893.34</v>
      </c>
      <c r="S4" s="13">
        <f>+R4/$R$16</f>
        <v>3.811416517850304E-4</v>
      </c>
      <c r="T4" s="3">
        <v>12815388.07</v>
      </c>
      <c r="U4" s="13">
        <f>+T4/$T$16</f>
        <v>1.7030494571381581E-2</v>
      </c>
      <c r="V4" s="3">
        <v>122371347.63</v>
      </c>
      <c r="W4" s="13">
        <f>+V4/$V$16</f>
        <v>5.7406555354251897E-2</v>
      </c>
      <c r="X4" s="127">
        <v>42523093.880000003</v>
      </c>
      <c r="Y4" s="13">
        <f>+X4/$X$16</f>
        <v>1</v>
      </c>
      <c r="AB4" s="23">
        <f>+AVERAGE(S4,Q4,O4,M4,K4,U4,W4)</f>
        <v>1.4735931202626007E-2</v>
      </c>
      <c r="AD4" s="55"/>
    </row>
    <row r="5" spans="2:30" x14ac:dyDescent="0.3">
      <c r="B5" s="9" t="s">
        <v>5</v>
      </c>
      <c r="J5" s="3">
        <v>1658360.31</v>
      </c>
      <c r="K5" s="13">
        <f t="shared" ref="K5:K15" si="0">+J5/$J$16</f>
        <v>9.1177013781969189E-3</v>
      </c>
      <c r="L5" s="3">
        <v>10926712.039999999</v>
      </c>
      <c r="M5" s="13">
        <f t="shared" ref="M5:M15" si="1">+L5/$L$16</f>
        <v>5.1925655953438309E-2</v>
      </c>
      <c r="N5" s="3">
        <v>11499117.050000001</v>
      </c>
      <c r="O5" s="13">
        <f t="shared" ref="O5:O15" si="2">+N5/$N$16</f>
        <v>2.3055418864412536E-2</v>
      </c>
      <c r="P5" s="3">
        <v>12788808.050000001</v>
      </c>
      <c r="Q5" s="13">
        <f t="shared" ref="Q5:Q15" si="3">+P5/$P$16</f>
        <v>2.7085820534853023E-2</v>
      </c>
      <c r="R5" s="3">
        <v>42977991.119999997</v>
      </c>
      <c r="S5" s="13">
        <f t="shared" ref="S5:S15" si="4">+R5/$R$16</f>
        <v>8.7180857639122103E-2</v>
      </c>
      <c r="T5" s="3">
        <v>87165453.030000001</v>
      </c>
      <c r="U5" s="13">
        <f>+T5/$T$16</f>
        <v>0.11583502321825757</v>
      </c>
      <c r="V5" s="3">
        <v>192585584.27000001</v>
      </c>
      <c r="W5" s="13">
        <f t="shared" ref="W5:Y15" si="5">+V5/$V$16</f>
        <v>9.0345290935705438E-2</v>
      </c>
      <c r="X5" s="119"/>
      <c r="Y5" s="13">
        <f t="shared" ref="Y5:Y15" si="6">+X5/$X$16</f>
        <v>0</v>
      </c>
      <c r="AB5" s="23">
        <f t="shared" ref="AB5:AB15" si="7">+AVERAGE(S5,Q5,O5,M5,K5,U5,W5)</f>
        <v>5.7792252646283696E-2</v>
      </c>
      <c r="AD5" s="55"/>
    </row>
    <row r="6" spans="2:30" x14ac:dyDescent="0.3">
      <c r="B6" s="9" t="s">
        <v>6</v>
      </c>
      <c r="J6" s="3">
        <v>8675017.7100000009</v>
      </c>
      <c r="K6" s="13">
        <f t="shared" si="0"/>
        <v>4.76954377485974E-2</v>
      </c>
      <c r="L6" s="3">
        <v>13038680.1</v>
      </c>
      <c r="M6" s="13">
        <f t="shared" si="1"/>
        <v>6.1962099347091668E-2</v>
      </c>
      <c r="N6" s="3">
        <v>25690549.699999999</v>
      </c>
      <c r="O6" s="13">
        <f t="shared" si="2"/>
        <v>5.1508857733603794E-2</v>
      </c>
      <c r="P6" s="3">
        <v>11161501.539999999</v>
      </c>
      <c r="Q6" s="13">
        <f t="shared" si="3"/>
        <v>2.3639296674870774E-2</v>
      </c>
      <c r="R6" s="3">
        <v>37393948.990000002</v>
      </c>
      <c r="S6" s="13">
        <f t="shared" si="4"/>
        <v>7.5853627833821949E-2</v>
      </c>
      <c r="T6" s="3">
        <v>73456039.159999996</v>
      </c>
      <c r="U6" s="13">
        <f t="shared" ref="U6:U15" si="8">+T6/$T$16</f>
        <v>9.7616449015544532E-2</v>
      </c>
      <c r="V6" s="50">
        <v>123128265.59</v>
      </c>
      <c r="W6" s="13">
        <f t="shared" si="5"/>
        <v>5.7761638906169199E-2</v>
      </c>
      <c r="X6" s="119"/>
      <c r="Y6" s="13">
        <f t="shared" si="6"/>
        <v>0</v>
      </c>
      <c r="AB6" s="23">
        <f t="shared" si="7"/>
        <v>5.9433915322814189E-2</v>
      </c>
      <c r="AD6" s="55"/>
    </row>
    <row r="7" spans="2:30" x14ac:dyDescent="0.3">
      <c r="B7" s="9" t="s">
        <v>7</v>
      </c>
      <c r="J7" s="3">
        <v>7885773.5999999996</v>
      </c>
      <c r="K7" s="13">
        <f t="shared" si="0"/>
        <v>4.3356156311331932E-2</v>
      </c>
      <c r="L7" s="3">
        <v>5554674.1799999997</v>
      </c>
      <c r="M7" s="13">
        <f t="shared" si="1"/>
        <v>2.6396787921952693E-2</v>
      </c>
      <c r="N7" s="3">
        <v>106902575.34</v>
      </c>
      <c r="O7" s="13">
        <f t="shared" si="2"/>
        <v>0.21433677398284404</v>
      </c>
      <c r="P7" s="3">
        <v>877866.86</v>
      </c>
      <c r="Q7" s="13">
        <f t="shared" si="3"/>
        <v>1.8592619523642739E-3</v>
      </c>
      <c r="R7" s="3">
        <v>8479357.6400000006</v>
      </c>
      <c r="S7" s="13">
        <f t="shared" si="4"/>
        <v>1.7200377496007137E-2</v>
      </c>
      <c r="T7" s="3">
        <v>33597280.899999999</v>
      </c>
      <c r="U7" s="13">
        <f t="shared" si="8"/>
        <v>4.4647755249805091E-2</v>
      </c>
      <c r="V7" s="50">
        <v>120381928.81999999</v>
      </c>
      <c r="W7" s="13">
        <f t="shared" si="5"/>
        <v>5.6473283936956026E-2</v>
      </c>
      <c r="X7" s="119"/>
      <c r="Y7" s="13">
        <f t="shared" si="6"/>
        <v>0</v>
      </c>
      <c r="AB7" s="23">
        <f t="shared" si="7"/>
        <v>5.7752913835894461E-2</v>
      </c>
      <c r="AD7" s="55"/>
    </row>
    <row r="8" spans="2:30" x14ac:dyDescent="0.3">
      <c r="B8" s="9" t="s">
        <v>8</v>
      </c>
      <c r="J8" s="3">
        <v>14058152.119999999</v>
      </c>
      <c r="K8" s="13">
        <f t="shared" si="0"/>
        <v>7.7292028871232418E-2</v>
      </c>
      <c r="L8" s="3">
        <v>8736205.4499999993</v>
      </c>
      <c r="M8" s="13">
        <f t="shared" si="1"/>
        <v>4.1515983662295974E-2</v>
      </c>
      <c r="N8" s="3">
        <v>63268127.469999999</v>
      </c>
      <c r="O8" s="13">
        <f t="shared" si="2"/>
        <v>0.12685088544149525</v>
      </c>
      <c r="P8" s="3">
        <v>3428305.47</v>
      </c>
      <c r="Q8" s="13">
        <f t="shared" si="3"/>
        <v>7.2609164463200261E-3</v>
      </c>
      <c r="R8" s="3">
        <v>25402381.440000001</v>
      </c>
      <c r="S8" s="13">
        <f t="shared" si="4"/>
        <v>5.1528732318638859E-2</v>
      </c>
      <c r="T8" s="50">
        <v>101511591.75</v>
      </c>
      <c r="U8" s="13">
        <f t="shared" si="8"/>
        <v>0.13489974730282811</v>
      </c>
      <c r="V8" s="50">
        <v>86024539.090000004</v>
      </c>
      <c r="W8" s="13">
        <f t="shared" si="5"/>
        <v>4.0355627038002988E-2</v>
      </c>
      <c r="X8" s="119"/>
      <c r="Y8" s="13">
        <f t="shared" si="6"/>
        <v>0</v>
      </c>
      <c r="AB8" s="23">
        <f t="shared" si="7"/>
        <v>6.8529131582973385E-2</v>
      </c>
      <c r="AD8" s="55"/>
    </row>
    <row r="9" spans="2:30" x14ac:dyDescent="0.3">
      <c r="B9" s="9" t="s">
        <v>9</v>
      </c>
      <c r="J9" s="3">
        <v>6177539.6699999999</v>
      </c>
      <c r="K9" s="13">
        <f t="shared" si="0"/>
        <v>3.3964248675865345E-2</v>
      </c>
      <c r="L9" s="3">
        <v>38094367.75</v>
      </c>
      <c r="M9" s="13">
        <f t="shared" si="1"/>
        <v>0.18103113052755584</v>
      </c>
      <c r="N9" s="3">
        <v>19781618.329999998</v>
      </c>
      <c r="O9" s="13">
        <f t="shared" si="2"/>
        <v>3.9661610055016415E-2</v>
      </c>
      <c r="P9" s="3">
        <v>1990303.3</v>
      </c>
      <c r="Q9" s="13">
        <f t="shared" si="3"/>
        <v>4.2153262276640189E-3</v>
      </c>
      <c r="R9" s="3">
        <v>31405523.809999999</v>
      </c>
      <c r="S9" s="13">
        <f t="shared" si="4"/>
        <v>6.3706106986642003E-2</v>
      </c>
      <c r="T9" s="50">
        <v>23120924.739999998</v>
      </c>
      <c r="U9" s="13">
        <f t="shared" si="8"/>
        <v>3.0725623064951166E-2</v>
      </c>
      <c r="V9" s="88">
        <v>344735744.63999999</v>
      </c>
      <c r="W9" s="13">
        <f t="shared" si="5"/>
        <v>0.16172161204845437</v>
      </c>
      <c r="X9" s="119"/>
      <c r="Y9" s="13">
        <f t="shared" si="6"/>
        <v>0</v>
      </c>
      <c r="AB9" s="23">
        <f t="shared" si="7"/>
        <v>7.3575093940878453E-2</v>
      </c>
      <c r="AD9" s="55"/>
    </row>
    <row r="10" spans="2:30" x14ac:dyDescent="0.3">
      <c r="B10" s="9" t="s">
        <v>10</v>
      </c>
      <c r="J10" s="3">
        <v>7369113.2300000004</v>
      </c>
      <c r="K10" s="13">
        <f t="shared" si="0"/>
        <v>4.0515546258617439E-2</v>
      </c>
      <c r="L10" s="3">
        <v>11514117.35</v>
      </c>
      <c r="M10" s="13">
        <f t="shared" si="1"/>
        <v>5.4717109221413589E-2</v>
      </c>
      <c r="N10" s="3">
        <v>29393935.350000001</v>
      </c>
      <c r="O10" s="13">
        <f t="shared" si="2"/>
        <v>5.8934045859435132E-2</v>
      </c>
      <c r="P10" s="3">
        <v>6450174.1799999997</v>
      </c>
      <c r="Q10" s="13">
        <f t="shared" si="3"/>
        <v>1.3661027640337657E-2</v>
      </c>
      <c r="R10" s="3">
        <v>26661292.57</v>
      </c>
      <c r="S10" s="13">
        <f t="shared" si="4"/>
        <v>5.4082433623532149E-2</v>
      </c>
      <c r="T10" s="50">
        <v>11859725.98</v>
      </c>
      <c r="U10" s="13">
        <f t="shared" si="8"/>
        <v>1.5760505871318737E-2</v>
      </c>
      <c r="V10" s="88">
        <v>83184417.659999996</v>
      </c>
      <c r="W10" s="99">
        <f t="shared" si="5"/>
        <v>3.9023276032299742E-2</v>
      </c>
      <c r="X10" s="120"/>
      <c r="Y10" s="13">
        <f t="shared" si="6"/>
        <v>0</v>
      </c>
      <c r="AB10" s="23">
        <f t="shared" si="7"/>
        <v>3.9527706358136357E-2</v>
      </c>
      <c r="AD10" s="55"/>
    </row>
    <row r="11" spans="2:30" x14ac:dyDescent="0.3">
      <c r="B11" s="98" t="s">
        <v>11</v>
      </c>
      <c r="C11" s="97"/>
      <c r="D11" s="96"/>
      <c r="E11" s="96"/>
      <c r="F11" s="96"/>
      <c r="G11" s="96"/>
      <c r="H11" s="96"/>
      <c r="I11" s="96"/>
      <c r="J11" s="95">
        <v>39453319.079999998</v>
      </c>
      <c r="K11" s="94">
        <f t="shared" si="0"/>
        <v>0.21691521413109482</v>
      </c>
      <c r="L11" s="95">
        <v>53946514.890000001</v>
      </c>
      <c r="M11" s="94">
        <f t="shared" si="1"/>
        <v>0.25636331970776244</v>
      </c>
      <c r="N11" s="95">
        <v>93408917.780000001</v>
      </c>
      <c r="O11" s="94">
        <f t="shared" si="2"/>
        <v>0.18728235530826007</v>
      </c>
      <c r="P11" s="95">
        <v>130913145.09</v>
      </c>
      <c r="Q11" s="94">
        <f t="shared" si="3"/>
        <v>0.27726508519774956</v>
      </c>
      <c r="R11" s="95">
        <v>185698889.91999999</v>
      </c>
      <c r="S11" s="94">
        <f t="shared" si="4"/>
        <v>0.3766902096623293</v>
      </c>
      <c r="T11" s="93">
        <v>78464729.689999998</v>
      </c>
      <c r="U11" s="99">
        <f t="shared" si="8"/>
        <v>0.10427254685783917</v>
      </c>
      <c r="V11" s="92">
        <v>90172828.290000007</v>
      </c>
      <c r="W11" s="99">
        <f t="shared" si="5"/>
        <v>4.2301662594506614E-2</v>
      </c>
      <c r="X11" s="120"/>
      <c r="Y11" s="13">
        <f t="shared" si="6"/>
        <v>0</v>
      </c>
      <c r="Z11" s="62"/>
      <c r="AB11" s="23">
        <f t="shared" si="7"/>
        <v>0.20872719906564882</v>
      </c>
      <c r="AD11" s="55"/>
    </row>
    <row r="12" spans="2:30" x14ac:dyDescent="0.3">
      <c r="B12" s="98" t="s">
        <v>12</v>
      </c>
      <c r="C12" s="97"/>
      <c r="D12" s="96"/>
      <c r="E12" s="96"/>
      <c r="F12" s="96"/>
      <c r="G12" s="96"/>
      <c r="H12" s="96"/>
      <c r="I12" s="96"/>
      <c r="J12" s="95">
        <v>25684263.079999998</v>
      </c>
      <c r="K12" s="94">
        <f t="shared" si="0"/>
        <v>0.14121264207202849</v>
      </c>
      <c r="L12" s="95">
        <v>28731513.059999999</v>
      </c>
      <c r="M12" s="94">
        <f t="shared" si="1"/>
        <v>0.13653719954491264</v>
      </c>
      <c r="N12" s="95">
        <v>28369759.969999999</v>
      </c>
      <c r="O12" s="94">
        <f t="shared" si="2"/>
        <v>5.6880601905969254E-2</v>
      </c>
      <c r="P12" s="95">
        <v>137686174.33000001</v>
      </c>
      <c r="Q12" s="94">
        <f t="shared" si="3"/>
        <v>0.29160989776782736</v>
      </c>
      <c r="R12" s="95">
        <v>54416992.520000003</v>
      </c>
      <c r="S12" s="94">
        <f t="shared" si="4"/>
        <v>0.11038487268493095</v>
      </c>
      <c r="T12" s="92">
        <v>75197720.069999993</v>
      </c>
      <c r="U12" s="99">
        <f t="shared" si="8"/>
        <v>9.9930985814650139E-2</v>
      </c>
      <c r="V12" s="114">
        <v>478296627.63999999</v>
      </c>
      <c r="W12" s="99">
        <f t="shared" si="5"/>
        <v>0.22437737560419205</v>
      </c>
      <c r="X12" s="120"/>
      <c r="Y12" s="13">
        <f t="shared" si="6"/>
        <v>0</v>
      </c>
      <c r="Z12" s="62"/>
      <c r="AB12" s="23">
        <f t="shared" si="7"/>
        <v>0.15156193934207302</v>
      </c>
      <c r="AD12" s="55"/>
    </row>
    <row r="13" spans="2:30" x14ac:dyDescent="0.3">
      <c r="B13" s="115" t="s">
        <v>13</v>
      </c>
      <c r="C13" s="116"/>
      <c r="D13" s="62"/>
      <c r="E13" s="62"/>
      <c r="F13" s="62"/>
      <c r="G13" s="62"/>
      <c r="H13" s="62"/>
      <c r="I13" s="62"/>
      <c r="J13" s="117">
        <v>16373512.970000001</v>
      </c>
      <c r="K13" s="99">
        <f t="shared" si="0"/>
        <v>9.0021933636661944E-2</v>
      </c>
      <c r="L13" s="117">
        <v>24735063.300000001</v>
      </c>
      <c r="M13" s="99">
        <f t="shared" si="1"/>
        <v>0.11754536792042326</v>
      </c>
      <c r="N13" s="117">
        <v>74384826.810000002</v>
      </c>
      <c r="O13" s="99">
        <f t="shared" si="2"/>
        <v>0.14913956713409862</v>
      </c>
      <c r="P13" s="117">
        <v>25212394.329999998</v>
      </c>
      <c r="Q13" s="99">
        <f t="shared" si="3"/>
        <v>5.3398126346600835E-2</v>
      </c>
      <c r="R13" s="114">
        <v>25000000</v>
      </c>
      <c r="S13" s="99">
        <f t="shared" si="4"/>
        <v>5.0712501542767616E-2</v>
      </c>
      <c r="T13" s="118">
        <v>86962230.939999998</v>
      </c>
      <c r="U13" s="99">
        <f t="shared" si="8"/>
        <v>0.11556495939485828</v>
      </c>
      <c r="V13" s="114">
        <v>273249346.79000002</v>
      </c>
      <c r="W13" s="99">
        <f t="shared" si="5"/>
        <v>0.12818608322793143</v>
      </c>
      <c r="X13" s="120"/>
      <c r="Y13" s="13">
        <f t="shared" si="6"/>
        <v>0</v>
      </c>
      <c r="AB13" s="23">
        <f t="shared" si="7"/>
        <v>0.10065264845762027</v>
      </c>
      <c r="AD13" s="55"/>
    </row>
    <row r="14" spans="2:30" x14ac:dyDescent="0.3">
      <c r="B14" s="108" t="s">
        <v>14</v>
      </c>
      <c r="C14" s="107"/>
      <c r="D14" s="106"/>
      <c r="E14" s="106"/>
      <c r="F14" s="106"/>
      <c r="G14" s="106"/>
      <c r="H14" s="106"/>
      <c r="I14" s="106"/>
      <c r="J14" s="91">
        <v>45246213.509999998</v>
      </c>
      <c r="K14" s="52">
        <f t="shared" si="0"/>
        <v>0.24876467483614526</v>
      </c>
      <c r="L14" s="91">
        <v>8401357.7699999996</v>
      </c>
      <c r="M14" s="52">
        <f t="shared" si="1"/>
        <v>3.9924728638384227E-2</v>
      </c>
      <c r="N14" s="91">
        <v>14039457.119999999</v>
      </c>
      <c r="O14" s="52">
        <f t="shared" si="2"/>
        <v>2.8148732039435919E-2</v>
      </c>
      <c r="P14" s="91">
        <v>110204146.98</v>
      </c>
      <c r="Q14" s="52">
        <f t="shared" si="3"/>
        <v>0.23340484395626257</v>
      </c>
      <c r="R14" s="91">
        <v>23905923.510000002</v>
      </c>
      <c r="S14" s="52">
        <f t="shared" si="4"/>
        <v>4.8493167315286384E-2</v>
      </c>
      <c r="T14" s="105">
        <v>52455648.899999999</v>
      </c>
      <c r="U14" s="52">
        <f t="shared" si="8"/>
        <v>6.9708824964966359E-2</v>
      </c>
      <c r="V14" s="109">
        <v>110054690.13</v>
      </c>
      <c r="W14" s="52">
        <f t="shared" si="5"/>
        <v>5.162859430171076E-2</v>
      </c>
      <c r="X14" s="128"/>
      <c r="Y14" s="13">
        <f t="shared" si="6"/>
        <v>0</v>
      </c>
      <c r="AB14" s="23">
        <f t="shared" si="7"/>
        <v>0.1028676522931702</v>
      </c>
      <c r="AD14" s="55"/>
    </row>
    <row r="15" spans="2:30" x14ac:dyDescent="0.3">
      <c r="B15" s="104" t="s">
        <v>15</v>
      </c>
      <c r="C15" s="103"/>
      <c r="D15" s="102"/>
      <c r="E15" s="102"/>
      <c r="F15" s="102"/>
      <c r="G15" s="102"/>
      <c r="H15" s="102"/>
      <c r="I15" s="102"/>
      <c r="J15" s="101">
        <v>8073566.5800000001</v>
      </c>
      <c r="K15" s="53">
        <f t="shared" si="0"/>
        <v>4.4388646236613434E-2</v>
      </c>
      <c r="L15" s="101">
        <v>4729660.01</v>
      </c>
      <c r="M15" s="53">
        <f t="shared" si="1"/>
        <v>2.2476175592158792E-2</v>
      </c>
      <c r="N15" s="101">
        <v>29356576.329999998</v>
      </c>
      <c r="O15" s="53">
        <f t="shared" si="2"/>
        <v>5.8859142034148472E-2</v>
      </c>
      <c r="P15" s="101">
        <v>28315027.84</v>
      </c>
      <c r="Q15" s="53">
        <f t="shared" si="3"/>
        <v>5.9969291861692066E-2</v>
      </c>
      <c r="R15" s="101">
        <v>31444894.899999999</v>
      </c>
      <c r="S15" s="53">
        <f t="shared" si="4"/>
        <v>6.3785971245136616E-2</v>
      </c>
      <c r="T15" s="100">
        <v>115889796.81999999</v>
      </c>
      <c r="U15" s="53">
        <f t="shared" si="8"/>
        <v>0.15400708467359928</v>
      </c>
      <c r="V15" s="89">
        <v>107476244.48999999</v>
      </c>
      <c r="W15" s="53">
        <f t="shared" si="5"/>
        <v>5.0419000019819388E-2</v>
      </c>
      <c r="X15" s="129"/>
      <c r="Y15" s="13">
        <f t="shared" si="6"/>
        <v>0</v>
      </c>
      <c r="AB15" s="23">
        <f t="shared" si="7"/>
        <v>6.4843615951881151E-2</v>
      </c>
      <c r="AD15" s="55"/>
    </row>
    <row r="16" spans="2:30" s="7" customFormat="1" x14ac:dyDescent="0.3">
      <c r="B16" s="10" t="s">
        <v>1</v>
      </c>
      <c r="C16" s="5">
        <v>20427887.48</v>
      </c>
      <c r="D16" s="5">
        <v>46095841.850000001</v>
      </c>
      <c r="E16" s="5">
        <v>129951472.40000001</v>
      </c>
      <c r="F16" s="5">
        <v>126644376.93000001</v>
      </c>
      <c r="G16" s="5">
        <v>62569155.289999999</v>
      </c>
      <c r="H16" s="5">
        <v>219573342.55000001</v>
      </c>
      <c r="I16" s="5">
        <v>226005824.22999999</v>
      </c>
      <c r="J16" s="6">
        <f>+SUM(J4:J15)</f>
        <v>181883595.56999999</v>
      </c>
      <c r="K16" s="16"/>
      <c r="L16" s="6">
        <f t="shared" ref="L16:P16" si="9">+SUM(L4:L15)</f>
        <v>210429927.93000001</v>
      </c>
      <c r="M16" s="16"/>
      <c r="N16" s="6">
        <f t="shared" si="9"/>
        <v>498759841.13</v>
      </c>
      <c r="O16" s="16"/>
      <c r="P16" s="6">
        <f t="shared" si="9"/>
        <v>472158782.62</v>
      </c>
      <c r="Q16" s="16"/>
      <c r="R16" s="5">
        <f t="shared" ref="R16" si="10">+SUM(R4:R15)</f>
        <v>492975089.75999993</v>
      </c>
      <c r="S16" s="19"/>
      <c r="T16" s="5">
        <f t="shared" ref="T16:X16" si="11">+SUM(T4:T15)</f>
        <v>752496530.04999995</v>
      </c>
      <c r="U16" s="20"/>
      <c r="V16" s="5">
        <f t="shared" si="11"/>
        <v>2131661565.0400002</v>
      </c>
      <c r="W16" s="20"/>
      <c r="X16" s="5">
        <f t="shared" si="11"/>
        <v>42523093.880000003</v>
      </c>
      <c r="Y16" s="20"/>
      <c r="AD16" s="56"/>
    </row>
    <row r="17" spans="2:30" x14ac:dyDescent="0.3">
      <c r="B17" s="9" t="s">
        <v>2</v>
      </c>
      <c r="C17" s="3"/>
      <c r="D17" s="3"/>
      <c r="E17" s="3"/>
      <c r="F17" s="3">
        <v>9757.41</v>
      </c>
      <c r="G17" s="3">
        <v>32327.81</v>
      </c>
      <c r="H17" s="3"/>
      <c r="I17" s="3">
        <v>813203.57</v>
      </c>
      <c r="J17" s="3">
        <v>326854.28999999998</v>
      </c>
      <c r="K17" s="17"/>
      <c r="L17" s="3">
        <v>186744.66</v>
      </c>
      <c r="M17" s="17"/>
      <c r="N17" s="3">
        <v>152755.93</v>
      </c>
      <c r="O17" s="17"/>
      <c r="Q17" s="18"/>
      <c r="R17" s="3"/>
      <c r="S17" s="17"/>
      <c r="T17" s="3"/>
      <c r="U17" s="18"/>
      <c r="V17" s="3"/>
      <c r="W17" s="18"/>
      <c r="X17" s="121"/>
      <c r="Y17" s="18"/>
    </row>
    <row r="18" spans="2:30" s="7" customFormat="1" x14ac:dyDescent="0.3">
      <c r="B18" s="10" t="s">
        <v>3</v>
      </c>
      <c r="C18" s="6">
        <f t="shared" ref="C18" si="12">+C16-C17</f>
        <v>20427887.48</v>
      </c>
      <c r="D18" s="6">
        <f t="shared" ref="D18" si="13">+D16-D17</f>
        <v>46095841.850000001</v>
      </c>
      <c r="E18" s="6">
        <f t="shared" ref="E18" si="14">+E16-E17</f>
        <v>129951472.40000001</v>
      </c>
      <c r="F18" s="6">
        <f t="shared" ref="F18" si="15">+F16-F17</f>
        <v>126634619.52000001</v>
      </c>
      <c r="G18" s="6">
        <f t="shared" ref="G18" si="16">+G16-G17</f>
        <v>62536827.479999997</v>
      </c>
      <c r="H18" s="6">
        <f t="shared" ref="H18" si="17">+H16-H17</f>
        <v>219573342.55000001</v>
      </c>
      <c r="I18" s="21">
        <f t="shared" ref="I18" si="18">+I16-I17</f>
        <v>225192620.66</v>
      </c>
      <c r="J18" s="21">
        <f t="shared" ref="J18" si="19">+J16-J17</f>
        <v>181556741.28</v>
      </c>
      <c r="K18" s="21"/>
      <c r="L18" s="21">
        <f t="shared" ref="L18" si="20">+L16-L17</f>
        <v>210243183.27000001</v>
      </c>
      <c r="M18" s="21"/>
      <c r="N18" s="21">
        <f t="shared" ref="N18:P18" si="21">+N16-N17</f>
        <v>498607085.19999999</v>
      </c>
      <c r="O18" s="21"/>
      <c r="P18" s="21">
        <f t="shared" si="21"/>
        <v>472158782.62</v>
      </c>
      <c r="Q18" s="21"/>
      <c r="R18" s="22">
        <f t="shared" ref="R18:X18" si="22">+R16-R17</f>
        <v>492975089.75999993</v>
      </c>
      <c r="S18" s="22"/>
      <c r="T18" s="22">
        <f t="shared" si="22"/>
        <v>752496530.04999995</v>
      </c>
      <c r="U18" s="20"/>
      <c r="V18" s="22">
        <f t="shared" si="22"/>
        <v>2131661565.0400002</v>
      </c>
      <c r="W18" s="20"/>
      <c r="X18" s="22">
        <f t="shared" si="22"/>
        <v>42523093.880000003</v>
      </c>
      <c r="Y18" s="20"/>
    </row>
    <row r="19" spans="2:30" s="44" customFormat="1" ht="12" x14ac:dyDescent="0.25">
      <c r="B19" s="40" t="s">
        <v>26</v>
      </c>
      <c r="C19" s="41"/>
      <c r="D19" s="42"/>
      <c r="E19" s="42"/>
      <c r="F19" s="42"/>
      <c r="G19" s="42"/>
      <c r="H19" s="42"/>
      <c r="I19" s="42"/>
      <c r="J19" s="43">
        <f>+J18/H18-1</f>
        <v>-0.17313850956813248</v>
      </c>
      <c r="K19" s="42"/>
      <c r="L19" s="51">
        <f>+SUM(L4:L8)/SUM(J4:J8)-1</f>
        <v>0.20209075147671518</v>
      </c>
      <c r="M19" s="42"/>
      <c r="N19" s="51">
        <f>+SUM(N4:N8)/SUM(L4:L8)-1</f>
        <v>4.2144650508122758</v>
      </c>
      <c r="O19" s="42"/>
      <c r="P19" s="51">
        <f>+SUM(P4:P8)/SUM(N4:N8)-1</f>
        <v>-0.85055372448394817</v>
      </c>
      <c r="Q19" s="42"/>
      <c r="R19" s="51">
        <f>+SUM(R4:R8)/SUM(P4:P8)-1</f>
        <v>2.6460972273641317</v>
      </c>
      <c r="S19" s="42"/>
      <c r="T19" s="51">
        <f>+SUM(T4)/SUM(R4)-1</f>
        <v>67.205653643710846</v>
      </c>
      <c r="U19" s="42"/>
      <c r="V19" s="51">
        <f>+SUM(V4)/SUM(T4)-1</f>
        <v>8.548782054947166</v>
      </c>
      <c r="W19" s="42"/>
      <c r="X19" s="51">
        <f>+SUM(X4)/SUM(V4)-1</f>
        <v>-0.65250775852716658</v>
      </c>
      <c r="Y19" s="42"/>
    </row>
    <row r="20" spans="2:30" s="44" customFormat="1" ht="12" x14ac:dyDescent="0.25">
      <c r="B20" s="45" t="s">
        <v>27</v>
      </c>
      <c r="C20" s="46"/>
      <c r="D20" s="47"/>
      <c r="E20" s="47"/>
      <c r="F20" s="47"/>
      <c r="G20" s="47"/>
      <c r="H20" s="47"/>
      <c r="I20" s="47"/>
      <c r="J20" s="48">
        <f>+SUM(J11:J12)/J18</f>
        <v>0.35877258922346306</v>
      </c>
      <c r="K20" s="47"/>
      <c r="L20" s="48">
        <f>+SUM(L11:L12)/L18</f>
        <v>0.39324950594865488</v>
      </c>
      <c r="M20" s="47"/>
      <c r="N20" s="48">
        <f>+SUM(N11:N12)/N18</f>
        <v>0.2442377602820314</v>
      </c>
      <c r="O20" s="47"/>
      <c r="P20" s="48">
        <f>+SUM(P11:P12)/P18</f>
        <v>0.56887498296557693</v>
      </c>
      <c r="Q20" s="47"/>
      <c r="R20" s="48">
        <f>+SUM(R11:R12)/R18</f>
        <v>0.48707508234726027</v>
      </c>
      <c r="S20" s="47"/>
      <c r="T20" s="48">
        <f>+SUM(T11:T12)/T18</f>
        <v>0.20420353267248931</v>
      </c>
      <c r="U20" s="47"/>
      <c r="V20" s="48">
        <f>+SUM(V11:V12)/V18</f>
        <v>0.26667903819869865</v>
      </c>
      <c r="X20" s="48">
        <f>+SUM(X11:X12)/X18</f>
        <v>0</v>
      </c>
    </row>
    <row r="21" spans="2:30" s="15" customFormat="1" x14ac:dyDescent="0.3">
      <c r="B21" s="1"/>
      <c r="C21" s="2"/>
      <c r="R21" s="49"/>
      <c r="T21" s="3"/>
      <c r="X21" s="90"/>
      <c r="Y21" s="90"/>
    </row>
    <row r="22" spans="2:30" x14ac:dyDescent="0.3">
      <c r="B22" s="34" t="s">
        <v>25</v>
      </c>
      <c r="C22" s="35">
        <f t="shared" ref="C22:J22" si="23">+C18/C24/12</f>
        <v>5674.4131888888887</v>
      </c>
      <c r="D22" s="35">
        <f t="shared" si="23"/>
        <v>12804.40051388889</v>
      </c>
      <c r="E22" s="35">
        <f t="shared" si="23"/>
        <v>36097.631222222226</v>
      </c>
      <c r="F22" s="35">
        <f t="shared" si="23"/>
        <v>35176.283200000005</v>
      </c>
      <c r="G22" s="35">
        <f t="shared" si="23"/>
        <v>17371.340966666667</v>
      </c>
      <c r="H22" s="35">
        <f t="shared" si="23"/>
        <v>60992.595152777787</v>
      </c>
      <c r="I22" s="35">
        <f t="shared" si="23"/>
        <v>62553.505738888889</v>
      </c>
      <c r="J22" s="35">
        <f t="shared" si="23"/>
        <v>50432.428133333335</v>
      </c>
      <c r="K22" s="30"/>
      <c r="L22" s="35">
        <f>+L18/L24/12</f>
        <v>58400.884241666674</v>
      </c>
      <c r="M22" s="30"/>
      <c r="N22" s="35">
        <f>+N16/N24/12</f>
        <v>124441.07812624751</v>
      </c>
      <c r="O22" s="30"/>
      <c r="P22" s="35">
        <f>+P16/P24/12</f>
        <v>117804.08748003992</v>
      </c>
      <c r="Q22" s="30"/>
      <c r="R22" s="35">
        <f>+R16/R24/12</f>
        <v>122997.77688622753</v>
      </c>
      <c r="S22" s="30"/>
      <c r="T22" s="35">
        <f>+T16/T24/12</f>
        <v>187748.63524201594</v>
      </c>
      <c r="U22" s="30"/>
      <c r="V22" s="35">
        <f>+V16/V24/12</f>
        <v>531851.68788423156</v>
      </c>
      <c r="W22" s="30"/>
      <c r="X22" s="35">
        <f>+X16/X24/12</f>
        <v>10609.554361277445</v>
      </c>
      <c r="Y22" s="30"/>
      <c r="AD22" s="56"/>
    </row>
    <row r="23" spans="2:30" s="15" customFormat="1" x14ac:dyDescent="0.3">
      <c r="B23" s="34" t="s">
        <v>24</v>
      </c>
      <c r="C23" s="35"/>
      <c r="D23" s="35"/>
      <c r="E23" s="35"/>
      <c r="F23" s="35"/>
      <c r="G23" s="35"/>
      <c r="H23" s="35"/>
      <c r="I23" s="35"/>
      <c r="J23" s="35"/>
      <c r="K23" s="30"/>
      <c r="L23" s="35"/>
      <c r="M23" s="30"/>
      <c r="N23" s="35"/>
      <c r="O23" s="30"/>
      <c r="P23" s="35"/>
      <c r="Q23" s="30"/>
      <c r="R23" s="35"/>
      <c r="S23" s="30"/>
      <c r="T23" s="35"/>
      <c r="U23" s="30"/>
      <c r="V23" s="30"/>
      <c r="W23" s="30"/>
      <c r="X23" s="30"/>
      <c r="Y23" s="30"/>
      <c r="AD23" s="56"/>
    </row>
    <row r="24" spans="2:30" s="4" customFormat="1" x14ac:dyDescent="0.3">
      <c r="B24" s="37" t="s">
        <v>23</v>
      </c>
      <c r="C24" s="36">
        <v>300</v>
      </c>
      <c r="D24" s="36">
        <v>300</v>
      </c>
      <c r="E24" s="36">
        <v>300</v>
      </c>
      <c r="F24" s="36">
        <v>300</v>
      </c>
      <c r="G24" s="36">
        <v>300</v>
      </c>
      <c r="H24" s="36">
        <v>300</v>
      </c>
      <c r="I24" s="36">
        <v>300</v>
      </c>
      <c r="J24" s="36">
        <v>300</v>
      </c>
      <c r="K24" s="36"/>
      <c r="L24" s="36">
        <v>300</v>
      </c>
      <c r="M24" s="36"/>
      <c r="N24" s="36">
        <v>334</v>
      </c>
      <c r="O24" s="36"/>
      <c r="P24" s="36">
        <v>334</v>
      </c>
      <c r="Q24" s="36"/>
      <c r="R24" s="36">
        <v>334</v>
      </c>
      <c r="S24" s="36"/>
      <c r="T24" s="36">
        <v>334</v>
      </c>
      <c r="U24" s="36"/>
      <c r="V24" s="36">
        <v>334</v>
      </c>
      <c r="W24" s="36"/>
      <c r="X24" s="36">
        <v>334</v>
      </c>
      <c r="Y24" s="36"/>
      <c r="AD24" s="57"/>
    </row>
    <row r="26" spans="2:30" x14ac:dyDescent="0.3">
      <c r="B26" s="12" t="s">
        <v>18</v>
      </c>
      <c r="C26" s="11">
        <v>2010</v>
      </c>
      <c r="D26" s="12">
        <v>2011</v>
      </c>
      <c r="E26" s="12">
        <v>2012</v>
      </c>
      <c r="F26" s="12">
        <v>2013</v>
      </c>
      <c r="G26" s="12">
        <v>2014</v>
      </c>
      <c r="H26" s="12">
        <v>2015</v>
      </c>
      <c r="I26" s="12">
        <v>2016</v>
      </c>
      <c r="J26" s="12">
        <v>2017</v>
      </c>
      <c r="K26" s="12"/>
      <c r="L26" s="12">
        <v>2018</v>
      </c>
      <c r="M26" s="12"/>
      <c r="N26" s="12">
        <v>2019</v>
      </c>
      <c r="O26" s="12"/>
      <c r="P26" s="12">
        <v>2020</v>
      </c>
      <c r="Q26" s="12"/>
      <c r="R26" s="12">
        <v>2021</v>
      </c>
      <c r="S26" s="12"/>
      <c r="T26" s="12">
        <v>2022</v>
      </c>
      <c r="U26" s="12"/>
      <c r="V26" s="12">
        <v>2023</v>
      </c>
      <c r="X26" s="12">
        <v>2024</v>
      </c>
    </row>
    <row r="27" spans="2:30" x14ac:dyDescent="0.3">
      <c r="B27" s="9" t="s">
        <v>4</v>
      </c>
      <c r="L27" s="3">
        <f t="shared" ref="L27:L38" si="24">+L4/$L$24</f>
        <v>6736.8734333333332</v>
      </c>
      <c r="N27" s="3">
        <f t="shared" ref="N27:N38" si="25">+N4/$N$24</f>
        <v>7977.185269461078</v>
      </c>
      <c r="P27" s="3">
        <f t="shared" ref="P27:P38" si="26">+P4/$P$24</f>
        <v>9374.0558383233529</v>
      </c>
      <c r="R27" s="3">
        <f t="shared" ref="R27:R38" si="27">+R4/$R$24</f>
        <v>562.55491017964073</v>
      </c>
      <c r="T27" s="3">
        <f t="shared" ref="T27:T38" si="28">+T4/$T$24</f>
        <v>38369.425359281435</v>
      </c>
      <c r="V27" s="3">
        <f>+V4/$V$24</f>
        <v>366381.2803293413</v>
      </c>
      <c r="X27" s="3">
        <f>+X4/$V$24</f>
        <v>127314.65233532935</v>
      </c>
    </row>
    <row r="28" spans="2:30" x14ac:dyDescent="0.3">
      <c r="B28" s="9" t="s">
        <v>5</v>
      </c>
      <c r="L28" s="3">
        <f t="shared" si="24"/>
        <v>36422.373466666664</v>
      </c>
      <c r="N28" s="3">
        <f t="shared" si="25"/>
        <v>34428.494161676652</v>
      </c>
      <c r="P28" s="3">
        <f t="shared" si="26"/>
        <v>38289.844461077846</v>
      </c>
      <c r="R28" s="3">
        <f t="shared" si="27"/>
        <v>128676.62011976047</v>
      </c>
      <c r="T28" s="3">
        <f t="shared" si="28"/>
        <v>260974.41026946108</v>
      </c>
      <c r="V28" s="3">
        <f t="shared" ref="V28:X38" si="29">+V5/$V$24</f>
        <v>576603.54571856291</v>
      </c>
      <c r="X28" s="3">
        <f t="shared" si="29"/>
        <v>0</v>
      </c>
    </row>
    <row r="29" spans="2:30" x14ac:dyDescent="0.3">
      <c r="B29" s="9" t="s">
        <v>6</v>
      </c>
      <c r="L29" s="3">
        <f t="shared" si="24"/>
        <v>43462.267</v>
      </c>
      <c r="N29" s="3">
        <f t="shared" si="25"/>
        <v>76917.813473053888</v>
      </c>
      <c r="P29" s="3">
        <f t="shared" si="26"/>
        <v>33417.66928143712</v>
      </c>
      <c r="R29" s="3">
        <f t="shared" si="27"/>
        <v>111957.93110778443</v>
      </c>
      <c r="T29" s="3">
        <f t="shared" si="28"/>
        <v>219928.26095808382</v>
      </c>
      <c r="V29" s="3">
        <f t="shared" si="29"/>
        <v>368647.50176646706</v>
      </c>
      <c r="X29" s="3">
        <f t="shared" si="29"/>
        <v>0</v>
      </c>
    </row>
    <row r="30" spans="2:30" x14ac:dyDescent="0.3">
      <c r="B30" s="9" t="s">
        <v>7</v>
      </c>
      <c r="L30" s="3">
        <f t="shared" si="24"/>
        <v>18515.580599999998</v>
      </c>
      <c r="N30" s="3">
        <f t="shared" si="25"/>
        <v>320067.59083832335</v>
      </c>
      <c r="P30" s="3">
        <f t="shared" si="26"/>
        <v>2628.3438922155688</v>
      </c>
      <c r="R30" s="3">
        <f t="shared" si="27"/>
        <v>25387.298323353294</v>
      </c>
      <c r="T30" s="3">
        <f t="shared" si="28"/>
        <v>100590.6613772455</v>
      </c>
      <c r="V30" s="3">
        <f t="shared" si="29"/>
        <v>360424.93658682634</v>
      </c>
      <c r="X30" s="3">
        <f t="shared" si="29"/>
        <v>0</v>
      </c>
    </row>
    <row r="31" spans="2:30" x14ac:dyDescent="0.3">
      <c r="B31" s="9" t="s">
        <v>8</v>
      </c>
      <c r="L31" s="3">
        <f t="shared" si="24"/>
        <v>29120.684833333329</v>
      </c>
      <c r="N31" s="3">
        <f t="shared" si="25"/>
        <v>189425.5313473054</v>
      </c>
      <c r="P31" s="3">
        <f t="shared" si="26"/>
        <v>10264.38763473054</v>
      </c>
      <c r="R31" s="3">
        <f t="shared" si="27"/>
        <v>76055.034251497011</v>
      </c>
      <c r="T31" s="14">
        <f t="shared" si="28"/>
        <v>303926.92140718561</v>
      </c>
      <c r="V31" s="3">
        <f t="shared" si="29"/>
        <v>257558.5002694611</v>
      </c>
      <c r="X31" s="3">
        <f t="shared" si="29"/>
        <v>0</v>
      </c>
    </row>
    <row r="32" spans="2:30" x14ac:dyDescent="0.3">
      <c r="B32" s="9" t="s">
        <v>9</v>
      </c>
      <c r="L32" s="3">
        <f t="shared" si="24"/>
        <v>126981.22583333333</v>
      </c>
      <c r="N32" s="3">
        <f t="shared" si="25"/>
        <v>59226.402185628736</v>
      </c>
      <c r="P32" s="3">
        <f t="shared" si="26"/>
        <v>5958.9919161676644</v>
      </c>
      <c r="R32" s="3">
        <f t="shared" si="27"/>
        <v>94028.514401197594</v>
      </c>
      <c r="T32" s="14">
        <f t="shared" si="28"/>
        <v>69224.325568862274</v>
      </c>
      <c r="V32" s="3">
        <f t="shared" si="29"/>
        <v>1032142.9480239521</v>
      </c>
      <c r="X32" s="3">
        <f t="shared" si="29"/>
        <v>0</v>
      </c>
    </row>
    <row r="33" spans="2:25" x14ac:dyDescent="0.3">
      <c r="B33" s="9" t="s">
        <v>10</v>
      </c>
      <c r="L33" s="3">
        <f t="shared" si="24"/>
        <v>38380.391166666668</v>
      </c>
      <c r="N33" s="3">
        <f t="shared" si="25"/>
        <v>88005.79446107785</v>
      </c>
      <c r="P33" s="3">
        <f t="shared" si="26"/>
        <v>19311.898742514968</v>
      </c>
      <c r="R33" s="3">
        <f t="shared" si="27"/>
        <v>79824.229251497003</v>
      </c>
      <c r="T33" s="14">
        <f t="shared" si="28"/>
        <v>35508.161616766469</v>
      </c>
      <c r="V33" s="3">
        <f t="shared" si="29"/>
        <v>249055.14269461078</v>
      </c>
      <c r="X33" s="3">
        <f t="shared" si="29"/>
        <v>0</v>
      </c>
    </row>
    <row r="34" spans="2:25" x14ac:dyDescent="0.3">
      <c r="B34" s="9" t="s">
        <v>11</v>
      </c>
      <c r="L34" s="3">
        <f t="shared" si="24"/>
        <v>179821.7163</v>
      </c>
      <c r="N34" s="3">
        <f t="shared" si="25"/>
        <v>279667.418502994</v>
      </c>
      <c r="P34" s="3">
        <f t="shared" si="26"/>
        <v>391955.5242215569</v>
      </c>
      <c r="R34" s="3">
        <f t="shared" si="27"/>
        <v>555984.70035928139</v>
      </c>
      <c r="T34" s="14">
        <f t="shared" si="28"/>
        <v>234924.34038922156</v>
      </c>
      <c r="V34" s="3">
        <f t="shared" si="29"/>
        <v>269978.52781437128</v>
      </c>
      <c r="X34" s="3">
        <f t="shared" si="29"/>
        <v>0</v>
      </c>
    </row>
    <row r="35" spans="2:25" x14ac:dyDescent="0.3">
      <c r="B35" s="9" t="s">
        <v>12</v>
      </c>
      <c r="L35" s="3">
        <f t="shared" si="24"/>
        <v>95771.710200000001</v>
      </c>
      <c r="N35" s="3">
        <f t="shared" si="25"/>
        <v>84939.401107784433</v>
      </c>
      <c r="P35" s="3">
        <f t="shared" si="26"/>
        <v>412234.05488023954</v>
      </c>
      <c r="R35" s="3">
        <f t="shared" si="27"/>
        <v>162925.12730538924</v>
      </c>
      <c r="T35" s="14">
        <f t="shared" si="28"/>
        <v>225142.87446107782</v>
      </c>
      <c r="V35" s="3">
        <f t="shared" si="29"/>
        <v>1432025.8312574851</v>
      </c>
      <c r="X35" s="3">
        <f t="shared" si="29"/>
        <v>0</v>
      </c>
    </row>
    <row r="36" spans="2:25" x14ac:dyDescent="0.3">
      <c r="B36" s="9" t="s">
        <v>13</v>
      </c>
      <c r="L36" s="3">
        <f t="shared" si="24"/>
        <v>82450.210999999996</v>
      </c>
      <c r="N36" s="3">
        <f t="shared" si="25"/>
        <v>222709.06230538923</v>
      </c>
      <c r="P36" s="3">
        <f t="shared" si="26"/>
        <v>75486.210568862269</v>
      </c>
      <c r="R36" s="3">
        <f t="shared" si="27"/>
        <v>74850.299401197612</v>
      </c>
      <c r="T36" s="14">
        <f t="shared" si="28"/>
        <v>260365.96089820357</v>
      </c>
      <c r="V36" s="3">
        <f t="shared" si="29"/>
        <v>818111.81673652702</v>
      </c>
      <c r="X36" s="3">
        <f t="shared" si="29"/>
        <v>0</v>
      </c>
    </row>
    <row r="37" spans="2:25" x14ac:dyDescent="0.3">
      <c r="B37" s="9" t="s">
        <v>14</v>
      </c>
      <c r="L37" s="3">
        <f t="shared" si="24"/>
        <v>28004.525899999997</v>
      </c>
      <c r="N37" s="3">
        <f t="shared" si="25"/>
        <v>42034.302754491015</v>
      </c>
      <c r="P37" s="3">
        <f t="shared" si="26"/>
        <v>329952.53586826351</v>
      </c>
      <c r="R37" s="3">
        <f t="shared" si="27"/>
        <v>71574.621287425151</v>
      </c>
      <c r="T37" s="14">
        <f t="shared" si="28"/>
        <v>157052.84101796406</v>
      </c>
      <c r="V37" s="3">
        <f t="shared" si="29"/>
        <v>329505.06026946107</v>
      </c>
      <c r="X37" s="3">
        <f t="shared" si="29"/>
        <v>0</v>
      </c>
    </row>
    <row r="38" spans="2:25" x14ac:dyDescent="0.3">
      <c r="B38" s="9" t="s">
        <v>15</v>
      </c>
      <c r="L38" s="3">
        <f t="shared" si="24"/>
        <v>15765.533366666667</v>
      </c>
      <c r="N38" s="3">
        <f t="shared" si="25"/>
        <v>87893.941107784427</v>
      </c>
      <c r="P38" s="3">
        <f t="shared" si="26"/>
        <v>84775.532455089822</v>
      </c>
      <c r="R38" s="3">
        <f t="shared" si="27"/>
        <v>94146.39191616766</v>
      </c>
      <c r="T38" s="14">
        <f t="shared" si="28"/>
        <v>346975.43958083831</v>
      </c>
      <c r="V38" s="3">
        <f t="shared" si="29"/>
        <v>321785.16314371256</v>
      </c>
      <c r="X38" s="3">
        <f t="shared" si="29"/>
        <v>0</v>
      </c>
    </row>
    <row r="39" spans="2:25" s="15" customFormat="1" x14ac:dyDescent="0.3">
      <c r="B39" s="9"/>
      <c r="C39" s="2"/>
      <c r="L39" s="3"/>
      <c r="N39" s="3"/>
      <c r="P39" s="3"/>
      <c r="R39" s="3"/>
      <c r="T39" s="3"/>
      <c r="X39" s="90"/>
      <c r="Y39" s="90"/>
    </row>
    <row r="40" spans="2:25" x14ac:dyDescent="0.3">
      <c r="B40" s="15"/>
      <c r="D40" s="15"/>
      <c r="E40" s="15"/>
      <c r="F40" s="15"/>
      <c r="G40" s="15"/>
      <c r="H40" s="15"/>
      <c r="I40" s="15"/>
      <c r="J40" s="15"/>
      <c r="L40" s="15"/>
      <c r="N40" s="15"/>
      <c r="P40" s="15"/>
      <c r="R40" s="15"/>
      <c r="T40" s="15"/>
      <c r="U40" s="15"/>
    </row>
  </sheetData>
  <mergeCells count="1">
    <mergeCell ref="B1:Y1"/>
  </mergeCells>
  <pageMargins left="0.7" right="0.7" top="0.75" bottom="0.75" header="0.3" footer="0.3"/>
  <pageSetup paperSize="5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4"/>
  <sheetViews>
    <sheetView showGridLines="0" zoomScale="85" zoomScaleNormal="85" workbookViewId="0">
      <selection activeCell="I1" sqref="I1"/>
    </sheetView>
  </sheetViews>
  <sheetFormatPr baseColWidth="10" defaultColWidth="9.33203125" defaultRowHeight="14.4" x14ac:dyDescent="0.3"/>
  <cols>
    <col min="1" max="1" width="2.44140625" customWidth="1"/>
    <col min="2" max="2" width="31.44140625" customWidth="1"/>
    <col min="3" max="3" width="12.5546875" bestFit="1" customWidth="1"/>
    <col min="5" max="5" width="11.33203125" bestFit="1" customWidth="1"/>
    <col min="7" max="7" width="12.33203125" bestFit="1" customWidth="1"/>
    <col min="9" max="9" width="11.33203125" bestFit="1" customWidth="1"/>
    <col min="11" max="11" width="11.6640625" bestFit="1" customWidth="1"/>
    <col min="13" max="13" width="10.33203125" customWidth="1"/>
  </cols>
  <sheetData>
    <row r="1" spans="2:22" x14ac:dyDescent="0.3"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5"/>
      <c r="P1" s="15"/>
      <c r="Q1" s="15"/>
      <c r="R1" s="15"/>
      <c r="S1" s="15"/>
      <c r="T1" s="15"/>
      <c r="U1" s="15"/>
      <c r="V1" s="15"/>
    </row>
    <row r="3" spans="2:22" x14ac:dyDescent="0.3">
      <c r="B3" s="12" t="s">
        <v>28</v>
      </c>
      <c r="C3" s="12">
        <v>2017</v>
      </c>
      <c r="D3" s="27" t="s">
        <v>20</v>
      </c>
      <c r="E3" s="12">
        <v>2018</v>
      </c>
      <c r="F3" s="27" t="s">
        <v>20</v>
      </c>
      <c r="G3" s="12">
        <v>2019</v>
      </c>
      <c r="H3" s="27" t="s">
        <v>20</v>
      </c>
      <c r="I3" s="12">
        <v>2020</v>
      </c>
      <c r="J3" s="27" t="s">
        <v>20</v>
      </c>
      <c r="K3" s="12">
        <v>2021</v>
      </c>
      <c r="L3" s="27" t="s">
        <v>20</v>
      </c>
      <c r="M3" s="12">
        <v>2022</v>
      </c>
      <c r="N3" s="27" t="s">
        <v>20</v>
      </c>
      <c r="O3" s="15"/>
      <c r="P3" s="15" t="s">
        <v>16</v>
      </c>
    </row>
    <row r="4" spans="2:22" x14ac:dyDescent="0.3">
      <c r="B4" s="9" t="s">
        <v>4</v>
      </c>
      <c r="C4" s="3">
        <v>2767.4621193193907</v>
      </c>
      <c r="D4" s="26">
        <f t="shared" ref="D4:D15" si="0">+C4/C22</f>
        <v>1.309028791220275E-2</v>
      </c>
      <c r="E4" s="3">
        <v>3345.5028346225208</v>
      </c>
      <c r="F4" s="26">
        <f t="shared" ref="F4:F15" si="1">+E4/E22</f>
        <v>1.2770993810678491E-2</v>
      </c>
      <c r="G4" s="3">
        <v>4836.4696124192087</v>
      </c>
      <c r="H4" s="26">
        <f t="shared" ref="H4:H15" si="2">+G4/G22</f>
        <v>1.3289669749572004E-2</v>
      </c>
      <c r="I4" s="14">
        <f t="shared" ref="I4:I15" si="3">+I22*P4</f>
        <v>6881.2294635317003</v>
      </c>
      <c r="J4" s="13"/>
      <c r="K4" s="14">
        <f t="shared" ref="K4:K15" si="4">+K22*P4</f>
        <v>10086.065736123292</v>
      </c>
      <c r="L4" s="13"/>
      <c r="M4" s="14">
        <f>+M22*P4</f>
        <v>15294.228672596857</v>
      </c>
      <c r="N4" s="18"/>
      <c r="O4" s="15"/>
      <c r="P4" s="29">
        <f>+AVERAGE(D4,F4,H4)</f>
        <v>1.3050317157484415E-2</v>
      </c>
    </row>
    <row r="5" spans="2:22" x14ac:dyDescent="0.3">
      <c r="B5" s="9" t="s">
        <v>5</v>
      </c>
      <c r="C5" s="3">
        <v>2304.8218430535103</v>
      </c>
      <c r="D5" s="26">
        <f t="shared" si="0"/>
        <v>1.3382887126171571E-2</v>
      </c>
      <c r="E5" s="3">
        <v>3200.8500145921103</v>
      </c>
      <c r="F5" s="26">
        <f t="shared" si="1"/>
        <v>1.3582130569250448E-2</v>
      </c>
      <c r="G5" s="3">
        <v>4658.2098729036588</v>
      </c>
      <c r="H5" s="26">
        <f t="shared" si="2"/>
        <v>1.4077789365109953E-2</v>
      </c>
      <c r="I5" s="14">
        <f t="shared" si="3"/>
        <v>6453.2055665400767</v>
      </c>
      <c r="J5" s="13"/>
      <c r="K5" s="14">
        <f t="shared" si="4"/>
        <v>9803.6961261950164</v>
      </c>
      <c r="L5" s="13"/>
      <c r="M5" s="14">
        <f>+M23*P5</f>
        <v>15959.006303531338</v>
      </c>
      <c r="N5" s="18"/>
      <c r="O5" s="15"/>
      <c r="P5" s="29">
        <f t="shared" ref="P5:P12" si="5">+AVERAGE(D5,F5,H5)</f>
        <v>1.368093568684399E-2</v>
      </c>
    </row>
    <row r="6" spans="2:22" x14ac:dyDescent="0.3">
      <c r="B6" s="9" t="s">
        <v>6</v>
      </c>
      <c r="C6" s="3">
        <v>3035.7068365876712</v>
      </c>
      <c r="D6" s="26">
        <f t="shared" si="0"/>
        <v>1.4299484647280192E-2</v>
      </c>
      <c r="E6" s="3">
        <v>3264.6829932610499</v>
      </c>
      <c r="F6" s="26">
        <f t="shared" si="1"/>
        <v>1.3669143961485077E-2</v>
      </c>
      <c r="G6" s="3">
        <v>4537.5588590459893</v>
      </c>
      <c r="H6" s="26">
        <f t="shared" si="2"/>
        <v>1.3839518243569901E-2</v>
      </c>
      <c r="I6" s="14">
        <f t="shared" si="3"/>
        <v>6182.5421569301125</v>
      </c>
      <c r="J6" s="13"/>
      <c r="K6" s="14">
        <f t="shared" si="4"/>
        <v>10645.159992365794</v>
      </c>
      <c r="L6" s="13"/>
      <c r="M6" s="14">
        <f>+M24*P6</f>
        <v>17295.876458654689</v>
      </c>
      <c r="N6" s="18"/>
      <c r="O6" s="15"/>
      <c r="P6" s="29">
        <f t="shared" si="5"/>
        <v>1.3936048950778391E-2</v>
      </c>
    </row>
    <row r="7" spans="2:22" x14ac:dyDescent="0.3">
      <c r="B7" s="9" t="s">
        <v>7</v>
      </c>
      <c r="C7" s="3">
        <v>2515.8311944356101</v>
      </c>
      <c r="D7" s="26">
        <f t="shared" si="0"/>
        <v>1.3385712620988558E-2</v>
      </c>
      <c r="E7" s="3">
        <v>3241.5191583649093</v>
      </c>
      <c r="F7" s="26">
        <f t="shared" si="1"/>
        <v>1.3722034333027133E-2</v>
      </c>
      <c r="G7" s="3">
        <v>5114.8046307214208</v>
      </c>
      <c r="H7" s="26">
        <f t="shared" si="2"/>
        <v>1.4312659648127363E-2</v>
      </c>
      <c r="I7" s="14">
        <f t="shared" si="3"/>
        <v>5504.2021444751981</v>
      </c>
      <c r="J7" s="13"/>
      <c r="K7" s="14">
        <f t="shared" si="4"/>
        <v>11292.336696369517</v>
      </c>
      <c r="L7" s="13"/>
      <c r="M7" s="14">
        <f>+M25*P7</f>
        <v>18523.141715344111</v>
      </c>
      <c r="N7" s="18"/>
      <c r="O7" s="15"/>
      <c r="P7" s="29">
        <f t="shared" si="5"/>
        <v>1.380680220071435E-2</v>
      </c>
    </row>
    <row r="8" spans="2:22" x14ac:dyDescent="0.3">
      <c r="B8" s="9" t="s">
        <v>8</v>
      </c>
      <c r="C8" s="3">
        <v>2876.9929703218804</v>
      </c>
      <c r="D8" s="26">
        <f t="shared" si="0"/>
        <v>1.3962230940388249E-2</v>
      </c>
      <c r="E8" s="3">
        <v>4226.4975106068405</v>
      </c>
      <c r="F8" s="26">
        <f t="shared" si="1"/>
        <v>1.4306696044803759E-2</v>
      </c>
      <c r="G8" s="3">
        <v>6696.2647582314612</v>
      </c>
      <c r="H8" s="26">
        <f t="shared" si="2"/>
        <v>1.5073198784893995E-2</v>
      </c>
      <c r="I8" s="14">
        <f t="shared" si="3"/>
        <v>7216.969066040896</v>
      </c>
      <c r="J8" s="13">
        <f>+I8/$I$16</f>
        <v>7.719027365784753E-2</v>
      </c>
      <c r="K8" s="14">
        <f t="shared" si="4"/>
        <v>12460.571282955114</v>
      </c>
      <c r="L8" s="13">
        <f>+K8/$K$16</f>
        <v>8.0304402489679724E-2</v>
      </c>
      <c r="M8" s="14">
        <f>+$M$17*AVERAGE(L8,J8)</f>
        <v>19562.079237711514</v>
      </c>
      <c r="N8" s="18"/>
      <c r="O8" s="15"/>
      <c r="P8" s="29">
        <f t="shared" si="5"/>
        <v>1.4447375256695335E-2</v>
      </c>
    </row>
    <row r="9" spans="2:22" x14ac:dyDescent="0.3">
      <c r="B9" s="9" t="s">
        <v>9</v>
      </c>
      <c r="C9" s="3">
        <v>3275.6861376943398</v>
      </c>
      <c r="D9" s="26">
        <f t="shared" si="0"/>
        <v>1.4456276844876889E-2</v>
      </c>
      <c r="E9" s="3">
        <v>4596.5349442621318</v>
      </c>
      <c r="F9" s="26">
        <f t="shared" si="1"/>
        <v>1.5380573189475669E-2</v>
      </c>
      <c r="G9" s="3">
        <v>6825.4720946218486</v>
      </c>
      <c r="H9" s="26">
        <f t="shared" si="2"/>
        <v>1.5019452494462616E-2</v>
      </c>
      <c r="I9" s="14">
        <f t="shared" si="3"/>
        <v>8163.2905161866965</v>
      </c>
      <c r="J9" s="13">
        <f t="shared" ref="J9:J15" si="6">+I9/$I$16</f>
        <v>8.73118095874892E-2</v>
      </c>
      <c r="K9" s="14">
        <f t="shared" si="4"/>
        <v>13798.595926995991</v>
      </c>
      <c r="L9" s="13">
        <f t="shared" ref="L9:L15" si="7">+K9/$K$16</f>
        <v>8.8927544006726339E-2</v>
      </c>
      <c r="M9" s="14">
        <f t="shared" ref="M9:M14" si="8">+$M$17*AVERAGE(L9,J9)</f>
        <v>21890.315813492536</v>
      </c>
      <c r="N9" s="18"/>
      <c r="O9" s="15"/>
      <c r="P9" s="29">
        <f t="shared" si="5"/>
        <v>1.495210084293839E-2</v>
      </c>
    </row>
    <row r="10" spans="2:22" x14ac:dyDescent="0.3">
      <c r="B10" s="9" t="s">
        <v>10</v>
      </c>
      <c r="C10" s="3">
        <v>3114.0201343941399</v>
      </c>
      <c r="D10" s="26">
        <f t="shared" si="0"/>
        <v>1.3121285254648722E-2</v>
      </c>
      <c r="E10" s="3">
        <v>3879.8420014628891</v>
      </c>
      <c r="F10" s="26">
        <f t="shared" si="1"/>
        <v>1.3201501741588902E-2</v>
      </c>
      <c r="G10" s="3">
        <v>6201.2130988357712</v>
      </c>
      <c r="H10" s="26">
        <f t="shared" si="2"/>
        <v>1.3752668647487682E-2</v>
      </c>
      <c r="I10" s="14">
        <f t="shared" si="3"/>
        <v>7468.6208457604607</v>
      </c>
      <c r="J10" s="13">
        <f t="shared" si="6"/>
        <v>7.9881856449083438E-2</v>
      </c>
      <c r="K10" s="14">
        <f t="shared" si="4"/>
        <v>12466.140643166791</v>
      </c>
      <c r="L10" s="13">
        <f t="shared" si="7"/>
        <v>8.0340295237603762E-2</v>
      </c>
      <c r="M10" s="14">
        <f t="shared" si="8"/>
        <v>19900.853181828759</v>
      </c>
      <c r="N10" s="18"/>
      <c r="O10" s="15"/>
      <c r="P10" s="29">
        <f t="shared" si="5"/>
        <v>1.3358485214575102E-2</v>
      </c>
    </row>
    <row r="11" spans="2:22" x14ac:dyDescent="0.3">
      <c r="B11" s="9" t="s">
        <v>11</v>
      </c>
      <c r="C11" s="3">
        <v>3111.0768694108692</v>
      </c>
      <c r="D11" s="26">
        <f t="shared" si="0"/>
        <v>1.4059751911944574E-2</v>
      </c>
      <c r="E11" s="3">
        <v>4241.0976497605297</v>
      </c>
      <c r="F11" s="26">
        <f t="shared" si="1"/>
        <v>1.4454095454394906E-2</v>
      </c>
      <c r="G11" s="3">
        <v>6867.0554612416981</v>
      </c>
      <c r="H11" s="26">
        <f t="shared" si="2"/>
        <v>1.497739665121153E-2</v>
      </c>
      <c r="I11" s="14">
        <f t="shared" si="3"/>
        <v>8874.3307381042323</v>
      </c>
      <c r="J11" s="13">
        <f t="shared" si="6"/>
        <v>9.4916856638308886E-2</v>
      </c>
      <c r="K11" s="14">
        <f t="shared" si="4"/>
        <v>14574.003788274737</v>
      </c>
      <c r="L11" s="13">
        <f t="shared" si="7"/>
        <v>9.3924800037111386E-2</v>
      </c>
      <c r="M11" s="14">
        <f t="shared" si="8"/>
        <v>23455.62111448733</v>
      </c>
      <c r="N11" s="18"/>
      <c r="O11" s="15"/>
      <c r="P11" s="29">
        <f t="shared" si="5"/>
        <v>1.4497081339183671E-2</v>
      </c>
    </row>
    <row r="12" spans="2:22" x14ac:dyDescent="0.3">
      <c r="B12" s="9" t="s">
        <v>12</v>
      </c>
      <c r="C12" s="3">
        <v>3159.1762455459007</v>
      </c>
      <c r="D12" s="26">
        <f t="shared" si="0"/>
        <v>1.4099339120690007E-2</v>
      </c>
      <c r="E12" s="3">
        <v>4292.56941861624</v>
      </c>
      <c r="F12" s="26">
        <f t="shared" si="1"/>
        <v>1.4510863404622189E-2</v>
      </c>
      <c r="G12" s="3">
        <v>6337.745971970282</v>
      </c>
      <c r="H12" s="26">
        <f t="shared" si="2"/>
        <v>1.5017940504155938E-2</v>
      </c>
      <c r="I12" s="14">
        <f t="shared" si="3"/>
        <v>8820.2735328794206</v>
      </c>
      <c r="J12" s="13">
        <f t="shared" si="6"/>
        <v>9.4338678953702196E-2</v>
      </c>
      <c r="K12" s="14">
        <f t="shared" si="4"/>
        <v>14198.257683356376</v>
      </c>
      <c r="L12" s="13">
        <f t="shared" si="7"/>
        <v>9.1503236389819484E-2</v>
      </c>
      <c r="M12" s="14">
        <f t="shared" si="8"/>
        <v>23083.029614491032</v>
      </c>
      <c r="N12" s="18"/>
      <c r="O12" s="15"/>
      <c r="P12" s="29">
        <f t="shared" si="5"/>
        <v>1.4542714343156045E-2</v>
      </c>
    </row>
    <row r="13" spans="2:22" x14ac:dyDescent="0.3">
      <c r="B13" s="9" t="s">
        <v>13</v>
      </c>
      <c r="C13" s="3">
        <v>3037.5636293241696</v>
      </c>
      <c r="D13" s="26">
        <f t="shared" si="0"/>
        <v>1.3825122434510558E-2</v>
      </c>
      <c r="E13" s="3">
        <v>4519.8109933810811</v>
      </c>
      <c r="F13" s="26">
        <f t="shared" si="1"/>
        <v>1.4462986658343346E-2</v>
      </c>
      <c r="G13" s="14">
        <f>+G31*P13</f>
        <v>6310.6778233499344</v>
      </c>
      <c r="H13" s="26">
        <f t="shared" si="2"/>
        <v>1.4144054546426952E-2</v>
      </c>
      <c r="I13" s="14">
        <f t="shared" si="3"/>
        <v>9081.9605817949232</v>
      </c>
      <c r="J13" s="13">
        <f t="shared" si="6"/>
        <v>9.7137595608832519E-2</v>
      </c>
      <c r="K13" s="14">
        <f t="shared" si="4"/>
        <v>14409.725624191427</v>
      </c>
      <c r="L13" s="13">
        <f t="shared" si="7"/>
        <v>9.2866079733744764E-2</v>
      </c>
      <c r="M13" s="14">
        <f t="shared" si="8"/>
        <v>23599.952985244236</v>
      </c>
      <c r="N13" s="18"/>
      <c r="O13" s="15"/>
      <c r="P13" s="29">
        <f>+AVERAGE(D13,F13)</f>
        <v>1.4144054546426952E-2</v>
      </c>
    </row>
    <row r="14" spans="2:22" x14ac:dyDescent="0.3">
      <c r="B14" s="9" t="s">
        <v>14</v>
      </c>
      <c r="C14" s="3">
        <v>3108.6743189328299</v>
      </c>
      <c r="D14" s="26">
        <f t="shared" si="0"/>
        <v>1.3849337490237911E-2</v>
      </c>
      <c r="E14" s="3">
        <v>4285.0265911172401</v>
      </c>
      <c r="F14" s="26">
        <f t="shared" si="1"/>
        <v>1.427774098233741E-2</v>
      </c>
      <c r="G14" s="14">
        <f>+G32*P14</f>
        <v>6678.3544705910317</v>
      </c>
      <c r="H14" s="26">
        <f t="shared" si="2"/>
        <v>1.4063539236287659E-2</v>
      </c>
      <c r="I14" s="14">
        <f t="shared" si="3"/>
        <v>9126.903580952001</v>
      </c>
      <c r="J14" s="13">
        <f t="shared" si="6"/>
        <v>9.7618290810958741E-2</v>
      </c>
      <c r="K14" s="14">
        <f t="shared" si="4"/>
        <v>14553.768845281344</v>
      </c>
      <c r="L14" s="13">
        <f t="shared" si="7"/>
        <v>9.3794392291784337E-2</v>
      </c>
      <c r="M14" s="14">
        <f t="shared" si="8"/>
        <v>23774.962846689294</v>
      </c>
      <c r="N14" s="18"/>
      <c r="O14" s="15"/>
      <c r="P14" s="29">
        <f t="shared" ref="P14:P15" si="9">+AVERAGE(D14,F14)</f>
        <v>1.4063539236287659E-2</v>
      </c>
    </row>
    <row r="15" spans="2:22" x14ac:dyDescent="0.3">
      <c r="B15" s="9" t="s">
        <v>15</v>
      </c>
      <c r="C15" s="3">
        <v>3307.2071933677589</v>
      </c>
      <c r="D15" s="26">
        <f t="shared" si="0"/>
        <v>1.4058956151776646E-2</v>
      </c>
      <c r="E15" s="3">
        <v>4655.2348141307402</v>
      </c>
      <c r="F15" s="26">
        <f t="shared" si="1"/>
        <v>1.4551180422528549E-2</v>
      </c>
      <c r="G15" s="14">
        <f>+G33*P15</f>
        <v>7043.338251754285</v>
      </c>
      <c r="H15" s="26">
        <f t="shared" si="2"/>
        <v>1.4305068287152597E-2</v>
      </c>
      <c r="I15" s="14">
        <f t="shared" si="3"/>
        <v>9722.3065026459844</v>
      </c>
      <c r="J15" s="13">
        <f t="shared" si="6"/>
        <v>0.10398652019391397</v>
      </c>
      <c r="K15" s="14">
        <f t="shared" si="4"/>
        <v>16878.404467198874</v>
      </c>
      <c r="L15" s="13">
        <f t="shared" si="7"/>
        <v>0.10877592647550759</v>
      </c>
      <c r="M15" s="14">
        <f>+M17-SUM(M4:M14)</f>
        <v>26076.684463806072</v>
      </c>
      <c r="N15" s="18"/>
      <c r="O15" s="15"/>
      <c r="P15" s="29">
        <f t="shared" si="9"/>
        <v>1.4305068287152597E-2</v>
      </c>
    </row>
    <row r="16" spans="2:22" x14ac:dyDescent="0.3">
      <c r="B16" s="10" t="s">
        <v>3</v>
      </c>
      <c r="C16" s="21">
        <f>+SUM(C4:C15)</f>
        <v>35614.219492388074</v>
      </c>
      <c r="D16" s="28">
        <f>+AVERAGE(D4:D15)</f>
        <v>1.3799222704643052E-2</v>
      </c>
      <c r="E16" s="21">
        <f>+SUM(E4:E15)</f>
        <v>47749.168924178288</v>
      </c>
      <c r="F16" s="28">
        <f>+AVERAGE(F4:F15)</f>
        <v>1.4074161714377989E-2</v>
      </c>
      <c r="G16" s="21">
        <f>+SUM(G4:G15)</f>
        <v>72107.164905686586</v>
      </c>
      <c r="H16" s="28">
        <f>+AVERAGE(H4:H15)</f>
        <v>1.4322746346538184E-2</v>
      </c>
      <c r="I16" s="21">
        <f>+SUM(I4:I15)</f>
        <v>93495.834695841695</v>
      </c>
      <c r="J16" s="28"/>
      <c r="K16" s="21">
        <f>+SUM(K4:K15)</f>
        <v>155166.72681247428</v>
      </c>
      <c r="L16" s="28"/>
      <c r="M16" s="21">
        <f>+SUM(M4:M15)</f>
        <v>248415.75240787776</v>
      </c>
      <c r="N16" s="20"/>
      <c r="O16" s="7"/>
      <c r="P16" s="7"/>
    </row>
    <row r="17" spans="2:14" x14ac:dyDescent="0.3">
      <c r="C17" s="49">
        <f>+SUM(C4:C7)/C16</f>
        <v>0.29830281681918769</v>
      </c>
      <c r="E17" s="49">
        <f>+SUM(E4:E7)/E16</f>
        <v>0.27335669488964226</v>
      </c>
      <c r="G17" s="49">
        <f>+SUM(G4:G7)/G16</f>
        <v>0.26553592836625706</v>
      </c>
      <c r="I17" s="49">
        <f>+SUM(I4:I7)/I16</f>
        <v>0.26761811809986358</v>
      </c>
      <c r="K17" s="49">
        <f>+SUM(K4:K7)/K16</f>
        <v>0.26956332333802252</v>
      </c>
      <c r="M17" s="3">
        <f>+SUM(M4:M7)/0.27</f>
        <v>248415.75240787776</v>
      </c>
    </row>
    <row r="18" spans="2:14" s="15" customFormat="1" x14ac:dyDescent="0.3">
      <c r="B18" s="33" t="s">
        <v>22</v>
      </c>
      <c r="C18" s="32">
        <f>+C16/C19/12*1000000</f>
        <v>141326.26782693679</v>
      </c>
      <c r="D18" s="30"/>
      <c r="E18" s="32">
        <f>+E16/E19/12*1000000</f>
        <v>189480.82906419958</v>
      </c>
      <c r="F18" s="30"/>
      <c r="G18" s="32">
        <f>+G16/G19/12*1000000</f>
        <v>286139.54327653407</v>
      </c>
      <c r="H18" s="30"/>
      <c r="I18" s="32">
        <f>+I16/I19/12*1000000</f>
        <v>371015.21704699087</v>
      </c>
      <c r="J18" s="30"/>
      <c r="K18" s="32">
        <f>+K16/K19/12*1000000</f>
        <v>615740.97941458051</v>
      </c>
      <c r="L18" s="30"/>
      <c r="M18" s="39">
        <f>+M16/M19/12*1000000</f>
        <v>985776.79526935623</v>
      </c>
      <c r="N18" s="30"/>
    </row>
    <row r="19" spans="2:14" s="15" customFormat="1" x14ac:dyDescent="0.3">
      <c r="B19" s="30" t="s">
        <v>21</v>
      </c>
      <c r="C19" s="31">
        <v>21000</v>
      </c>
      <c r="D19" s="30"/>
      <c r="E19" s="31">
        <v>21000</v>
      </c>
      <c r="F19" s="30"/>
      <c r="G19" s="31">
        <v>21000</v>
      </c>
      <c r="H19" s="30"/>
      <c r="I19" s="31">
        <v>21000</v>
      </c>
      <c r="J19" s="30"/>
      <c r="K19" s="31">
        <v>21000</v>
      </c>
      <c r="L19" s="30"/>
      <c r="M19" s="31">
        <v>21000</v>
      </c>
      <c r="N19" s="30"/>
    </row>
    <row r="21" spans="2:14" x14ac:dyDescent="0.3">
      <c r="B21" s="25" t="s">
        <v>19</v>
      </c>
      <c r="C21" s="12">
        <v>2017</v>
      </c>
      <c r="D21" s="12"/>
      <c r="E21" s="12">
        <v>2018</v>
      </c>
      <c r="F21" s="12"/>
      <c r="G21" s="12">
        <v>2019</v>
      </c>
      <c r="H21" s="12"/>
      <c r="I21" s="12">
        <v>2020</v>
      </c>
      <c r="J21" s="12"/>
      <c r="K21" s="12">
        <v>2021</v>
      </c>
      <c r="L21" s="12"/>
      <c r="M21" s="12">
        <v>2022</v>
      </c>
      <c r="N21" s="12"/>
    </row>
    <row r="22" spans="2:14" x14ac:dyDescent="0.3">
      <c r="B22" s="9" t="s">
        <v>4</v>
      </c>
      <c r="C22" s="3">
        <v>211413.38814554003</v>
      </c>
      <c r="D22" s="3"/>
      <c r="E22" s="3">
        <v>261961.04110748001</v>
      </c>
      <c r="G22" s="3">
        <v>363926.99770248</v>
      </c>
      <c r="I22" s="3">
        <v>527284.46216996992</v>
      </c>
      <c r="K22" s="3">
        <v>772859.81745960005</v>
      </c>
      <c r="M22" s="3">
        <v>1171943.06376114</v>
      </c>
    </row>
    <row r="23" spans="2:14" x14ac:dyDescent="0.3">
      <c r="B23" s="9" t="s">
        <v>5</v>
      </c>
      <c r="C23" s="3">
        <v>172221.57082579</v>
      </c>
      <c r="D23" s="3"/>
      <c r="E23" s="3">
        <v>235666.26739981002</v>
      </c>
      <c r="G23" s="3">
        <v>330890.72098553</v>
      </c>
      <c r="I23" s="3">
        <v>471693.29015599994</v>
      </c>
      <c r="K23" s="3">
        <v>716595.43985887989</v>
      </c>
      <c r="M23" s="3">
        <v>1166514.2406069499</v>
      </c>
    </row>
    <row r="24" spans="2:14" x14ac:dyDescent="0.3">
      <c r="B24" s="9" t="s">
        <v>6</v>
      </c>
      <c r="C24" s="3">
        <v>212294.84218964999</v>
      </c>
      <c r="D24" s="3"/>
      <c r="E24" s="3">
        <v>238835.95069741004</v>
      </c>
      <c r="G24" s="3">
        <v>327869.71187773999</v>
      </c>
      <c r="I24" s="3">
        <v>443636.65618330002</v>
      </c>
      <c r="K24" s="3">
        <v>763857.82153636985</v>
      </c>
      <c r="M24" s="3">
        <v>1241088.95711712</v>
      </c>
    </row>
    <row r="25" spans="2:14" x14ac:dyDescent="0.3">
      <c r="B25" s="9" t="s">
        <v>7</v>
      </c>
      <c r="C25" s="3">
        <v>187948.99200889998</v>
      </c>
      <c r="D25" s="3"/>
      <c r="E25" s="3">
        <v>236227.30272311001</v>
      </c>
      <c r="G25" s="3">
        <v>357362.2762273</v>
      </c>
      <c r="I25" s="3">
        <v>398658.72375504998</v>
      </c>
      <c r="K25" s="3">
        <v>817882.12304405018</v>
      </c>
      <c r="M25" s="3">
        <v>1341595.35611988</v>
      </c>
    </row>
    <row r="26" spans="2:14" x14ac:dyDescent="0.3">
      <c r="B26" s="9" t="s">
        <v>8</v>
      </c>
      <c r="C26" s="3">
        <v>206055.39205053999</v>
      </c>
      <c r="D26" s="3"/>
      <c r="E26" s="3">
        <v>295420.93418151001</v>
      </c>
      <c r="G26" s="3">
        <v>444249.74776703009</v>
      </c>
      <c r="I26" s="3">
        <v>499534.96312047006</v>
      </c>
      <c r="K26" s="3">
        <v>862479.93573645991</v>
      </c>
    </row>
    <row r="27" spans="2:14" x14ac:dyDescent="0.3">
      <c r="B27" s="9" t="s">
        <v>9</v>
      </c>
      <c r="C27" s="3">
        <v>226592.65403147001</v>
      </c>
      <c r="D27" s="3"/>
      <c r="E27" s="3">
        <v>298853.29289335996</v>
      </c>
      <c r="G27" s="3">
        <v>454442.13743065996</v>
      </c>
      <c r="I27" s="3">
        <v>545962.77820330998</v>
      </c>
      <c r="K27" s="3">
        <v>922853.32154597004</v>
      </c>
    </row>
    <row r="28" spans="2:14" x14ac:dyDescent="0.3">
      <c r="B28" s="9" t="s">
        <v>10</v>
      </c>
      <c r="C28" s="3">
        <v>237325.84681754999</v>
      </c>
      <c r="D28" s="3"/>
      <c r="E28" s="3">
        <v>293893.98853315006</v>
      </c>
      <c r="G28" s="3">
        <v>450909.80214727996</v>
      </c>
      <c r="I28" s="3">
        <v>559091.89745643013</v>
      </c>
      <c r="K28" s="3">
        <v>933200.16775295022</v>
      </c>
    </row>
    <row r="29" spans="2:14" x14ac:dyDescent="0.3">
      <c r="B29" s="9" t="s">
        <v>11</v>
      </c>
      <c r="C29" s="3">
        <v>221275.37447996001</v>
      </c>
      <c r="D29" s="3"/>
      <c r="E29" s="3">
        <v>293418.40609410004</v>
      </c>
      <c r="G29" s="3">
        <v>458494.59830432001</v>
      </c>
      <c r="I29" s="3">
        <v>612146.02653280995</v>
      </c>
      <c r="K29" s="3">
        <v>1005306.0645306</v>
      </c>
    </row>
    <row r="30" spans="2:14" x14ac:dyDescent="0.3">
      <c r="B30" s="9" t="s">
        <v>12</v>
      </c>
      <c r="C30" s="3">
        <v>224065.55502378001</v>
      </c>
      <c r="D30" s="3"/>
      <c r="E30" s="3">
        <v>295817.64357653004</v>
      </c>
      <c r="G30" s="3">
        <v>422011.65800439997</v>
      </c>
      <c r="I30" s="3">
        <v>606508.0647774901</v>
      </c>
      <c r="K30" s="3">
        <v>976314.14248594013</v>
      </c>
    </row>
    <row r="31" spans="2:14" x14ac:dyDescent="0.3">
      <c r="B31" s="9" t="s">
        <v>13</v>
      </c>
      <c r="C31" s="3">
        <v>219713.32577436999</v>
      </c>
      <c r="D31" s="3"/>
      <c r="E31" s="3">
        <v>312508.82685242</v>
      </c>
      <c r="G31" s="3">
        <v>446171.76797753002</v>
      </c>
      <c r="I31" s="3">
        <v>642104.46530618006</v>
      </c>
      <c r="K31" s="3">
        <v>1018783.2333997601</v>
      </c>
    </row>
    <row r="32" spans="2:14" x14ac:dyDescent="0.3">
      <c r="B32" s="9" t="s">
        <v>14</v>
      </c>
      <c r="C32" s="3">
        <v>224463.75656049</v>
      </c>
      <c r="D32" s="3"/>
      <c r="E32" s="3">
        <v>300119.36737177998</v>
      </c>
      <c r="G32" s="3">
        <v>474870.1133039901</v>
      </c>
      <c r="I32" s="3">
        <v>648976.29448796005</v>
      </c>
      <c r="K32" s="3">
        <v>1034858.1961309399</v>
      </c>
    </row>
    <row r="33" spans="2:14" x14ac:dyDescent="0.3">
      <c r="B33" s="9" t="s">
        <v>15</v>
      </c>
      <c r="C33" s="3">
        <v>235238.45993002996</v>
      </c>
      <c r="D33" s="3"/>
      <c r="E33" s="3">
        <v>319921.45509538002</v>
      </c>
      <c r="G33" s="3">
        <v>492366.62911143998</v>
      </c>
      <c r="I33" s="3">
        <v>679640.69150076003</v>
      </c>
      <c r="K33" s="3">
        <v>1179889.82145282</v>
      </c>
    </row>
    <row r="34" spans="2:14" x14ac:dyDescent="0.3">
      <c r="B34" s="10" t="s">
        <v>3</v>
      </c>
      <c r="C34" s="21">
        <f>+SUM(C22:C33)</f>
        <v>2578609.1578380703</v>
      </c>
      <c r="D34" s="8"/>
      <c r="E34" s="21">
        <f>+SUM(E22:E33)</f>
        <v>3382644.4765260397</v>
      </c>
      <c r="F34" s="8"/>
      <c r="G34" s="21">
        <f>+SUM(G22:G33)</f>
        <v>5023566.1608397001</v>
      </c>
      <c r="H34" s="8"/>
      <c r="I34" s="21">
        <f>+SUM(I22:I33)</f>
        <v>6635238.3136497289</v>
      </c>
      <c r="J34" s="8"/>
      <c r="K34" s="21">
        <f>+SUM(K22:K33)</f>
        <v>11004880.084934341</v>
      </c>
      <c r="L34" s="8"/>
      <c r="M34" s="21">
        <f>+SUM(M22:M33)</f>
        <v>4921141.6176050901</v>
      </c>
      <c r="N34" s="8"/>
    </row>
  </sheetData>
  <pageMargins left="0.7" right="0.7" top="0.75" bottom="0.75" header="0.3" footer="0.3"/>
  <pageSetup paperSize="5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2"/>
  <sheetViews>
    <sheetView showGridLines="0" topLeftCell="A7" zoomScaleNormal="100" workbookViewId="0">
      <selection activeCell="K2" sqref="K2"/>
    </sheetView>
  </sheetViews>
  <sheetFormatPr baseColWidth="10" defaultColWidth="8.88671875" defaultRowHeight="14.4" x14ac:dyDescent="0.3"/>
  <cols>
    <col min="1" max="1" width="1.109375" style="15" customWidth="1"/>
    <col min="2" max="16384" width="8.88671875" style="15"/>
  </cols>
  <sheetData>
    <row r="3" ht="41.7" customHeight="1" x14ac:dyDescent="0.3"/>
    <row r="4" ht="19.95" customHeight="1" x14ac:dyDescent="0.3"/>
    <row r="20" s="58" customFormat="1" ht="3" customHeight="1" x14ac:dyDescent="0.3"/>
    <row r="21" s="58" customFormat="1" x14ac:dyDescent="0.3"/>
    <row r="22" s="58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showGridLines="0" topLeftCell="A5" zoomScaleNormal="100" workbookViewId="0">
      <selection activeCell="K2" sqref="K2"/>
    </sheetView>
  </sheetViews>
  <sheetFormatPr baseColWidth="10" defaultColWidth="8.88671875" defaultRowHeight="14.4" x14ac:dyDescent="0.3"/>
  <sheetData>
    <row r="1" s="15" customFormat="1" x14ac:dyDescent="0.3"/>
    <row r="3" s="15" customFormat="1" ht="41.7" customHeight="1" x14ac:dyDescent="0.3"/>
    <row r="4" ht="19.95" customHeight="1" x14ac:dyDescent="0.3"/>
    <row r="19" s="15" customFormat="1" x14ac:dyDescent="0.3"/>
    <row r="20" s="58" customFormat="1" ht="3" customHeight="1" x14ac:dyDescent="0.3"/>
    <row r="21" s="58" customFormat="1" x14ac:dyDescent="0.3"/>
    <row r="22" s="58" customForma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Tasa Actuación 2024</vt:lpstr>
      <vt:lpstr>Junio</vt:lpstr>
      <vt:lpstr>TFN</vt:lpstr>
      <vt:lpstr>AFIP</vt:lpstr>
      <vt:lpstr>Mayo</vt:lpstr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Spectre</dc:creator>
  <cp:lastModifiedBy>Guillermo Ferrin</cp:lastModifiedBy>
  <cp:lastPrinted>2024-02-01T16:05:25Z</cp:lastPrinted>
  <dcterms:created xsi:type="dcterms:W3CDTF">2022-05-12T22:24:19Z</dcterms:created>
  <dcterms:modified xsi:type="dcterms:W3CDTF">2024-02-01T16:06:05Z</dcterms:modified>
</cp:coreProperties>
</file>