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activeTab="3"/>
  </bookViews>
  <sheets>
    <sheet name="11-2023" sheetId="4" r:id="rId1"/>
    <sheet name="12-2023" sheetId="1" r:id="rId2"/>
    <sheet name="01-2024" sheetId="5" r:id="rId3"/>
    <sheet name="02-2024" sheetId="6" r:id="rId4"/>
  </sheets>
  <definedNames>
    <definedName name="_xlnm.Print_Area" localSheetId="2">'01-2024'!$A$1:$Q$38</definedName>
    <definedName name="_xlnm.Print_Area" localSheetId="3">'02-2024'!$A$1:$Q$38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6" l="1"/>
  <c r="D36" i="6"/>
  <c r="D33" i="6"/>
  <c r="D32" i="6"/>
  <c r="D29" i="6"/>
  <c r="D28" i="6"/>
  <c r="D27" i="6"/>
  <c r="D26" i="6"/>
  <c r="D23" i="6"/>
  <c r="D22" i="6"/>
  <c r="P16" i="6"/>
  <c r="O16" i="6"/>
  <c r="N16" i="6"/>
  <c r="K16" i="6"/>
  <c r="J16" i="6"/>
  <c r="I16" i="6"/>
  <c r="H16" i="6"/>
  <c r="G16" i="6"/>
  <c r="F16" i="6"/>
  <c r="E16" i="6"/>
  <c r="D16" i="6"/>
  <c r="C16" i="6"/>
  <c r="B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P12" i="6"/>
  <c r="O12" i="6"/>
  <c r="N12" i="6"/>
  <c r="L12" i="6"/>
  <c r="K12" i="6"/>
  <c r="J12" i="6"/>
  <c r="I12" i="6"/>
  <c r="H12" i="6"/>
  <c r="G12" i="6"/>
  <c r="F12" i="6"/>
  <c r="E12" i="6"/>
  <c r="D12" i="6"/>
  <c r="C12" i="6"/>
  <c r="B12" i="6"/>
  <c r="D37" i="5" l="1"/>
  <c r="D36" i="5"/>
  <c r="D33" i="5"/>
  <c r="D32" i="5"/>
  <c r="D29" i="5"/>
  <c r="D28" i="5"/>
  <c r="D27" i="5"/>
  <c r="D26" i="5"/>
  <c r="D23" i="5"/>
  <c r="D22" i="5"/>
  <c r="P16" i="5"/>
  <c r="O16" i="5"/>
  <c r="N16" i="5"/>
  <c r="K16" i="5"/>
  <c r="J16" i="5"/>
  <c r="I16" i="5"/>
  <c r="H16" i="5"/>
  <c r="G16" i="5"/>
  <c r="F16" i="5"/>
  <c r="E16" i="5"/>
  <c r="D16" i="5"/>
  <c r="C16" i="5"/>
  <c r="B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D37" i="4" l="1"/>
  <c r="D36" i="4"/>
  <c r="D33" i="4"/>
  <c r="D32" i="4"/>
  <c r="D29" i="4"/>
  <c r="D28" i="4"/>
  <c r="D27" i="4"/>
  <c r="D26" i="4"/>
  <c r="D23" i="4"/>
  <c r="D22" i="4"/>
  <c r="P16" i="4"/>
  <c r="O16" i="4"/>
  <c r="N16" i="4"/>
  <c r="K16" i="4"/>
  <c r="J16" i="4"/>
  <c r="I16" i="4"/>
  <c r="H16" i="4"/>
  <c r="G16" i="4"/>
  <c r="F16" i="4"/>
  <c r="E16" i="4"/>
  <c r="D16" i="4"/>
  <c r="C16" i="4"/>
  <c r="B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P12" i="4"/>
  <c r="O12" i="4"/>
  <c r="N12" i="4"/>
  <c r="L12" i="4"/>
  <c r="K12" i="4"/>
  <c r="J12" i="4"/>
  <c r="I12" i="4"/>
  <c r="H12" i="4"/>
  <c r="G12" i="4"/>
  <c r="F12" i="4"/>
  <c r="E12" i="4"/>
  <c r="D12" i="4"/>
  <c r="C12" i="4"/>
  <c r="B12" i="4"/>
  <c r="D37" i="1" l="1"/>
  <c r="D36" i="1"/>
  <c r="D33" i="1"/>
  <c r="D32" i="1"/>
  <c r="D29" i="1"/>
  <c r="D28" i="1"/>
  <c r="D27" i="1"/>
  <c r="D26" i="1"/>
  <c r="D23" i="1"/>
  <c r="D22" i="1"/>
  <c r="P16" i="1"/>
  <c r="O16" i="1"/>
  <c r="N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<sst xmlns="http://schemas.openxmlformats.org/spreadsheetml/2006/main" count="188" uniqueCount="46">
  <si>
    <t>SINDICATURA GENERAL DE LA NACIÓN</t>
  </si>
  <si>
    <t>Convenio Colectivo de Trabajo Sectorial para el personal de la Sindicatura General de la Nación (Dto. Nº 1714/2010)</t>
  </si>
  <si>
    <t>Valor de la Unidad Retributiva                       $</t>
  </si>
  <si>
    <t>Personal Planta Permanente</t>
  </si>
  <si>
    <t>Personal Contratado</t>
  </si>
  <si>
    <t>NIVEL</t>
  </si>
  <si>
    <t>Asignación básica del nivel + Adicional por grado (Artículos 59 y 60)</t>
  </si>
  <si>
    <t>Suplemento Agrupamiento Profesional</t>
  </si>
  <si>
    <t>Suplemento por Capacitación Terciaria</t>
  </si>
  <si>
    <t>Adicional por tramo</t>
  </si>
  <si>
    <t>Compensación Transitoria por Mayor Dedicación (Universtitario)</t>
  </si>
  <si>
    <t>Compensación Transitoria por Mayor Dedicación (Terciario/ Pregrado Univ.)</t>
  </si>
  <si>
    <t>Art. 63</t>
  </si>
  <si>
    <t>Art. 64</t>
  </si>
  <si>
    <t>Avanzado</t>
  </si>
  <si>
    <t>Intermedio</t>
  </si>
  <si>
    <t>Dto. 37/2022</t>
  </si>
  <si>
    <t>A partir Grado 7</t>
  </si>
  <si>
    <t>A partir Grado 4</t>
  </si>
  <si>
    <t>A</t>
  </si>
  <si>
    <t>--</t>
  </si>
  <si>
    <t>B</t>
  </si>
  <si>
    <t>C</t>
  </si>
  <si>
    <t>D</t>
  </si>
  <si>
    <t>E</t>
  </si>
  <si>
    <t>SUPLEMENTOS</t>
  </si>
  <si>
    <t>Función Ejecutiva</t>
  </si>
  <si>
    <t>Gerencia</t>
  </si>
  <si>
    <t>Sub-Gerencia</t>
  </si>
  <si>
    <t>Por Responsabilidad de Coordinación</t>
  </si>
  <si>
    <t>Coordinación General</t>
  </si>
  <si>
    <t>Coordinación de Departamento</t>
  </si>
  <si>
    <t>Coordinación de División</t>
  </si>
  <si>
    <t>Coordinación de Sector</t>
  </si>
  <si>
    <t>Por función Síndico Jurisdiccional</t>
  </si>
  <si>
    <t>Síndico Jurisdiccional</t>
  </si>
  <si>
    <t>Síndico Jurisdiccional Adjunto</t>
  </si>
  <si>
    <t>Por función de Síndico de Empresas, Sociedades y/o Entidades</t>
  </si>
  <si>
    <t>Importe máximo</t>
  </si>
  <si>
    <t>Importe mínimo</t>
  </si>
  <si>
    <r>
      <t>A partir del 01 de NOVIEMBRE</t>
    </r>
    <r>
      <rPr>
        <b/>
        <sz val="11"/>
        <color theme="1"/>
        <rFont val="Calibri"/>
        <family val="2"/>
        <scheme val="minor"/>
      </rPr>
      <t xml:space="preserve"> de 2023</t>
    </r>
  </si>
  <si>
    <t>Acta Acuerdo  del 30/10/2023 y 23/11/2023 - Decreto Nº  635/2023</t>
  </si>
  <si>
    <r>
      <t xml:space="preserve">A partir del 01 de </t>
    </r>
    <r>
      <rPr>
        <b/>
        <sz val="11"/>
        <color theme="1"/>
        <rFont val="Calibri"/>
        <family val="2"/>
        <scheme val="minor"/>
      </rPr>
      <t>ENERO de 2023</t>
    </r>
  </si>
  <si>
    <t>Acta Acuerdo  del 19/01/2024</t>
  </si>
  <si>
    <t>Acta Acuerdo  del 19/02/2024</t>
  </si>
  <si>
    <r>
      <t>A partir del 01 de FEBRERO</t>
    </r>
    <r>
      <rPr>
        <b/>
        <sz val="11"/>
        <color theme="1"/>
        <rFont val="Calibri"/>
        <family val="2"/>
        <scheme val="minor"/>
      </rPr>
      <t xml:space="preserve">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</si>
</sst>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1" applyFont="1" applyBorder="1" applyAlignment="1"/>
    <xf numFmtId="43" fontId="0" fillId="0" borderId="11" xfId="1" quotePrefix="1" applyFont="1" applyBorder="1" applyAlignment="1">
      <alignment horizontal="center"/>
    </xf>
    <xf numFmtId="43" fontId="0" fillId="0" borderId="10" xfId="1" quotePrefix="1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43" fontId="0" fillId="0" borderId="12" xfId="1" applyFont="1" applyBorder="1" applyAlignment="1"/>
    <xf numFmtId="43" fontId="0" fillId="0" borderId="13" xfId="1" quotePrefix="1" applyFont="1" applyBorder="1" applyAlignment="1">
      <alignment horizontal="center"/>
    </xf>
    <xf numFmtId="43" fontId="0" fillId="0" borderId="12" xfId="1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4" xfId="1" applyFont="1" applyBorder="1" applyAlignment="1"/>
    <xf numFmtId="43" fontId="0" fillId="0" borderId="14" xfId="1" applyFont="1" applyBorder="1" applyAlignment="1">
      <alignment horizontal="center"/>
    </xf>
    <xf numFmtId="43" fontId="0" fillId="0" borderId="15" xfId="1" quotePrefix="1" applyFont="1" applyBorder="1" applyAlignment="1">
      <alignment horizontal="center"/>
    </xf>
    <xf numFmtId="43" fontId="0" fillId="0" borderId="7" xfId="1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43" fontId="0" fillId="0" borderId="0" xfId="1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" workbookViewId="0">
      <selection activeCell="I4" sqref="A4:Q5"/>
    </sheetView>
  </sheetViews>
  <sheetFormatPr baseColWidth="10" defaultRowHeight="14.5" x14ac:dyDescent="0.35"/>
  <cols>
    <col min="1" max="1" width="12" customWidth="1"/>
    <col min="2" max="11" width="13" bestFit="1" customWidth="1"/>
    <col min="12" max="12" width="12" bestFit="1" customWidth="1"/>
    <col min="13" max="13" width="12.1796875" bestFit="1" customWidth="1"/>
    <col min="14" max="14" width="15.453125" customWidth="1"/>
    <col min="15" max="15" width="14.81640625" customWidth="1"/>
    <col min="16" max="16" width="12" bestFit="1" customWidth="1"/>
    <col min="17" max="17" width="12.1796875" bestFit="1" customWidth="1"/>
  </cols>
  <sheetData>
    <row r="1" spans="1:17" ht="18.5" x14ac:dyDescent="0.4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5">
      <c r="H4" t="s">
        <v>2</v>
      </c>
      <c r="K4" s="1">
        <v>503.54</v>
      </c>
    </row>
    <row r="5" spans="1:17" s="2" customFormat="1" x14ac:dyDescent="0.3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5">
      <c r="K6" s="29"/>
    </row>
    <row r="7" spans="1:17" ht="15.75" thickBot="1" x14ac:dyDescent="0.3"/>
    <row r="8" spans="1:17" ht="15.75" thickBot="1" x14ac:dyDescent="0.3">
      <c r="L8" s="48" t="s">
        <v>3</v>
      </c>
      <c r="M8" s="49"/>
      <c r="N8" s="49"/>
      <c r="O8" s="50"/>
      <c r="P8" s="48" t="s">
        <v>4</v>
      </c>
      <c r="Q8" s="50"/>
    </row>
    <row r="9" spans="1:17" ht="72.5" thickBot="1" x14ac:dyDescent="0.4">
      <c r="A9" s="3" t="s">
        <v>5</v>
      </c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4" t="s">
        <v>7</v>
      </c>
      <c r="M9" s="27" t="s">
        <v>8</v>
      </c>
      <c r="N9" s="39" t="s">
        <v>9</v>
      </c>
      <c r="O9" s="40"/>
      <c r="P9" s="4" t="s">
        <v>10</v>
      </c>
      <c r="Q9" s="4" t="s">
        <v>11</v>
      </c>
    </row>
    <row r="10" spans="1:17" s="28" customFormat="1" ht="15" thickBot="1" x14ac:dyDescent="0.4">
      <c r="A10" s="36"/>
      <c r="B10" s="42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4" t="s">
        <v>12</v>
      </c>
      <c r="M10" s="34" t="s">
        <v>13</v>
      </c>
      <c r="N10" s="6" t="s">
        <v>14</v>
      </c>
      <c r="O10" s="7" t="s">
        <v>15</v>
      </c>
      <c r="P10" s="34" t="s">
        <v>16</v>
      </c>
      <c r="Q10" s="34" t="s">
        <v>16</v>
      </c>
    </row>
    <row r="11" spans="1:17" s="28" customFormat="1" ht="15" thickBot="1" x14ac:dyDescent="0.4">
      <c r="A11" s="41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35"/>
      <c r="N11" s="9" t="s">
        <v>17</v>
      </c>
      <c r="O11" s="9" t="s">
        <v>18</v>
      </c>
      <c r="P11" s="35"/>
      <c r="Q11" s="35"/>
    </row>
    <row r="12" spans="1:17" s="14" customFormat="1" ht="15" x14ac:dyDescent="0.25">
      <c r="A12" s="10" t="s">
        <v>19</v>
      </c>
      <c r="B12" s="11">
        <f>2132*K4</f>
        <v>1073547.28</v>
      </c>
      <c r="C12" s="11">
        <f>2244*K4</f>
        <v>1129943.76</v>
      </c>
      <c r="D12" s="11">
        <f>2356*K4</f>
        <v>1186340.24</v>
      </c>
      <c r="E12" s="11">
        <f>2468*K4</f>
        <v>1242736.72</v>
      </c>
      <c r="F12" s="11">
        <f>2590*K4</f>
        <v>1304168.6000000001</v>
      </c>
      <c r="G12" s="11">
        <f>2725*K4</f>
        <v>1372146.5</v>
      </c>
      <c r="H12" s="11">
        <f>2804*K4</f>
        <v>1411926.1600000001</v>
      </c>
      <c r="I12" s="11">
        <f>2916*K4</f>
        <v>1468322.6400000001</v>
      </c>
      <c r="J12" s="11">
        <f>3028*K4</f>
        <v>1524719.12</v>
      </c>
      <c r="K12" s="11">
        <f>3140*K4</f>
        <v>1581115.6</v>
      </c>
      <c r="L12" s="11">
        <f>487.5*K4</f>
        <v>245475.75</v>
      </c>
      <c r="M12" s="12" t="s">
        <v>20</v>
      </c>
      <c r="N12" s="11">
        <f>585*K4</f>
        <v>294570.90000000002</v>
      </c>
      <c r="O12" s="11">
        <f>292.5*K4</f>
        <v>147285.45000000001</v>
      </c>
      <c r="P12" s="11">
        <f>292.5*K4</f>
        <v>147285.45000000001</v>
      </c>
      <c r="Q12" s="13" t="s">
        <v>20</v>
      </c>
    </row>
    <row r="13" spans="1:17" s="14" customFormat="1" ht="15" x14ac:dyDescent="0.25">
      <c r="A13" s="15" t="s">
        <v>21</v>
      </c>
      <c r="B13" s="16">
        <f>1705*K4</f>
        <v>858535.70000000007</v>
      </c>
      <c r="C13" s="16">
        <f>1810*K4</f>
        <v>911407.4</v>
      </c>
      <c r="D13" s="16">
        <f>1885*K4</f>
        <v>949172.9</v>
      </c>
      <c r="E13" s="16">
        <f>1957*K4</f>
        <v>985427.78</v>
      </c>
      <c r="F13" s="16">
        <f>2050*K4</f>
        <v>1032257</v>
      </c>
      <c r="G13" s="16">
        <f>2125*K4</f>
        <v>1070022.5</v>
      </c>
      <c r="H13" s="16">
        <f>2230*K4</f>
        <v>1122894.2</v>
      </c>
      <c r="I13" s="16">
        <f>2345*K4</f>
        <v>1180801.3</v>
      </c>
      <c r="J13" s="16">
        <f>2442*K4</f>
        <v>1229644.68</v>
      </c>
      <c r="K13" s="16">
        <f>2539*K4</f>
        <v>1278488.06</v>
      </c>
      <c r="L13" s="16">
        <f>387.5*K4</f>
        <v>195121.75</v>
      </c>
      <c r="M13" s="17">
        <f>155*K4</f>
        <v>78048.7</v>
      </c>
      <c r="N13" s="16">
        <f>465*K4</f>
        <v>234146.1</v>
      </c>
      <c r="O13" s="16">
        <f>232.5*K4</f>
        <v>117073.05</v>
      </c>
      <c r="P13" s="16">
        <f>232.5*K4</f>
        <v>117073.05</v>
      </c>
      <c r="Q13" s="18">
        <f>77.5*K4</f>
        <v>39024.35</v>
      </c>
    </row>
    <row r="14" spans="1:17" s="14" customFormat="1" ht="15" x14ac:dyDescent="0.25">
      <c r="A14" s="15" t="s">
        <v>22</v>
      </c>
      <c r="B14" s="16">
        <f>1142*K4</f>
        <v>575042.68000000005</v>
      </c>
      <c r="C14" s="16">
        <f>1224*K4</f>
        <v>616332.96000000008</v>
      </c>
      <c r="D14" s="16">
        <f>1306*K4</f>
        <v>657623.24</v>
      </c>
      <c r="E14" s="16">
        <f>1363*K4</f>
        <v>686325.02</v>
      </c>
      <c r="F14" s="16">
        <f>1503*K4</f>
        <v>756820.62</v>
      </c>
      <c r="G14" s="16">
        <f>1633*K4</f>
        <v>822280.82000000007</v>
      </c>
      <c r="H14" s="16">
        <f>1718*K4</f>
        <v>865081.72000000009</v>
      </c>
      <c r="I14" s="16">
        <f>1748*K4</f>
        <v>880187.92</v>
      </c>
      <c r="J14" s="16">
        <f>1808*K4</f>
        <v>910400.32000000007</v>
      </c>
      <c r="K14" s="16">
        <f>1868*K4</f>
        <v>940612.72000000009</v>
      </c>
      <c r="L14" s="16">
        <f>262*K4</f>
        <v>131927.48000000001</v>
      </c>
      <c r="M14" s="17">
        <f>104.8*K4</f>
        <v>52770.991999999998</v>
      </c>
      <c r="N14" s="16">
        <f>314.4*K4</f>
        <v>158312.976</v>
      </c>
      <c r="O14" s="16">
        <f>157.2*K4</f>
        <v>79156.487999999998</v>
      </c>
      <c r="P14" s="16">
        <f>157.2*K4</f>
        <v>79156.487999999998</v>
      </c>
      <c r="Q14" s="18">
        <f>52.4*K4</f>
        <v>26385.495999999999</v>
      </c>
    </row>
    <row r="15" spans="1:17" s="14" customFormat="1" ht="15" x14ac:dyDescent="0.25">
      <c r="A15" s="15" t="s">
        <v>23</v>
      </c>
      <c r="B15" s="16">
        <f>613*K4</f>
        <v>308670.02</v>
      </c>
      <c r="C15" s="16">
        <f>671*K4</f>
        <v>337875.34</v>
      </c>
      <c r="D15" s="16">
        <f>738*K4</f>
        <v>371612.52</v>
      </c>
      <c r="E15" s="16">
        <f>805*K4</f>
        <v>405349.7</v>
      </c>
      <c r="F15" s="16">
        <f>872*K4</f>
        <v>439086.88</v>
      </c>
      <c r="G15" s="16">
        <f>940*K4</f>
        <v>473327.60000000003</v>
      </c>
      <c r="H15" s="16">
        <f>1006*K4</f>
        <v>506561.24000000005</v>
      </c>
      <c r="I15" s="16">
        <f>1073*K4</f>
        <v>540298.42000000004</v>
      </c>
      <c r="J15" s="16">
        <f>1140*K4</f>
        <v>574035.6</v>
      </c>
      <c r="K15" s="16">
        <f>1207*K4</f>
        <v>607772.78</v>
      </c>
      <c r="L15" s="16">
        <f>141.25*K4</f>
        <v>71125.025000000009</v>
      </c>
      <c r="M15" s="17">
        <f>56.5*K4</f>
        <v>28450.010000000002</v>
      </c>
      <c r="N15" s="16">
        <f>169.5*K4</f>
        <v>85350.03</v>
      </c>
      <c r="O15" s="16">
        <f>84.75*K4</f>
        <v>42675.014999999999</v>
      </c>
      <c r="P15" s="16">
        <f>84.75*K4</f>
        <v>42675.014999999999</v>
      </c>
      <c r="Q15" s="18">
        <f>28.25*K4</f>
        <v>14225.005000000001</v>
      </c>
    </row>
    <row r="16" spans="1:17" s="14" customFormat="1" ht="15.75" thickBot="1" x14ac:dyDescent="0.3">
      <c r="A16" s="19" t="s">
        <v>24</v>
      </c>
      <c r="B16" s="20">
        <f>382*K4</f>
        <v>192352.28</v>
      </c>
      <c r="C16" s="20">
        <f>426*K4</f>
        <v>214508.04</v>
      </c>
      <c r="D16" s="20">
        <f>469*K4</f>
        <v>236160.26</v>
      </c>
      <c r="E16" s="20">
        <f>512*K4</f>
        <v>257812.48000000001</v>
      </c>
      <c r="F16" s="20">
        <f>555*K4</f>
        <v>279464.7</v>
      </c>
      <c r="G16" s="20">
        <f>598*K4</f>
        <v>301116.92</v>
      </c>
      <c r="H16" s="20">
        <f>648*K4</f>
        <v>326293.92000000004</v>
      </c>
      <c r="I16" s="20">
        <f>698*K4</f>
        <v>351470.92000000004</v>
      </c>
      <c r="J16" s="20">
        <f>748*K4</f>
        <v>376647.92000000004</v>
      </c>
      <c r="K16" s="20">
        <f>798*K4</f>
        <v>401824.92000000004</v>
      </c>
      <c r="L16" s="21" t="s">
        <v>20</v>
      </c>
      <c r="M16" s="22" t="s">
        <v>20</v>
      </c>
      <c r="N16" s="20">
        <f>104.4*K4</f>
        <v>52569.576000000008</v>
      </c>
      <c r="O16" s="20">
        <f>52.2*K4</f>
        <v>26284.788000000004</v>
      </c>
      <c r="P16" s="21">
        <f>52.2*K4</f>
        <v>26284.788000000004</v>
      </c>
      <c r="Q16" s="23" t="s">
        <v>20</v>
      </c>
    </row>
    <row r="19" spans="1:4" ht="15" x14ac:dyDescent="0.25">
      <c r="A19" s="24" t="s">
        <v>25</v>
      </c>
    </row>
    <row r="21" spans="1:4" x14ac:dyDescent="0.35">
      <c r="A21" s="25" t="s">
        <v>26</v>
      </c>
    </row>
    <row r="22" spans="1:4" ht="15" x14ac:dyDescent="0.25">
      <c r="A22" t="s">
        <v>27</v>
      </c>
      <c r="D22" s="26">
        <f>706*K4</f>
        <v>355499.24</v>
      </c>
    </row>
    <row r="23" spans="1:4" ht="15" x14ac:dyDescent="0.25">
      <c r="A23" t="s">
        <v>28</v>
      </c>
      <c r="D23" s="26">
        <f>353*K4</f>
        <v>177749.62</v>
      </c>
    </row>
    <row r="25" spans="1:4" x14ac:dyDescent="0.35">
      <c r="A25" s="25" t="s">
        <v>29</v>
      </c>
    </row>
    <row r="26" spans="1:4" x14ac:dyDescent="0.35">
      <c r="A26" t="s">
        <v>30</v>
      </c>
      <c r="D26" s="26">
        <f>294*K4</f>
        <v>148040.76</v>
      </c>
    </row>
    <row r="27" spans="1:4" x14ac:dyDescent="0.35">
      <c r="A27" t="s">
        <v>31</v>
      </c>
      <c r="D27" s="26">
        <f>235*K4</f>
        <v>118331.90000000001</v>
      </c>
    </row>
    <row r="28" spans="1:4" x14ac:dyDescent="0.35">
      <c r="A28" t="s">
        <v>32</v>
      </c>
      <c r="D28" s="26">
        <f>101*K4</f>
        <v>50857.54</v>
      </c>
    </row>
    <row r="29" spans="1:4" x14ac:dyDescent="0.35">
      <c r="A29" t="s">
        <v>33</v>
      </c>
      <c r="D29" s="26">
        <f>2*33.58*K4</f>
        <v>33817.746399999996</v>
      </c>
    </row>
    <row r="31" spans="1:4" x14ac:dyDescent="0.35">
      <c r="A31" s="25" t="s">
        <v>34</v>
      </c>
    </row>
    <row r="32" spans="1:4" x14ac:dyDescent="0.35">
      <c r="A32" t="s">
        <v>35</v>
      </c>
      <c r="D32" s="26">
        <f>235*K4</f>
        <v>118331.90000000001</v>
      </c>
    </row>
    <row r="33" spans="1:4" x14ac:dyDescent="0.35">
      <c r="A33" t="s">
        <v>36</v>
      </c>
      <c r="D33" s="26">
        <f>101*K4</f>
        <v>50857.54</v>
      </c>
    </row>
    <row r="35" spans="1:4" x14ac:dyDescent="0.35">
      <c r="A35" s="25" t="s">
        <v>37</v>
      </c>
    </row>
    <row r="36" spans="1:4" x14ac:dyDescent="0.35">
      <c r="A36" t="s">
        <v>38</v>
      </c>
      <c r="D36" s="26">
        <f>235*K4</f>
        <v>118331.90000000001</v>
      </c>
    </row>
    <row r="37" spans="1:4" x14ac:dyDescent="0.35">
      <c r="A37" t="s">
        <v>39</v>
      </c>
      <c r="D37" s="26">
        <f>33.58*K4</f>
        <v>16908.873199999998</v>
      </c>
    </row>
  </sheetData>
  <mergeCells count="23">
    <mergeCell ref="A1:Q1"/>
    <mergeCell ref="A2:Q2"/>
    <mergeCell ref="A3:Q3"/>
    <mergeCell ref="A5:Q5"/>
    <mergeCell ref="L8:O8"/>
    <mergeCell ref="P8:Q8"/>
    <mergeCell ref="B9:K9"/>
    <mergeCell ref="N9:O9"/>
    <mergeCell ref="A10:A11"/>
    <mergeCell ref="B10:B11"/>
    <mergeCell ref="C10:C11"/>
    <mergeCell ref="D10:D11"/>
    <mergeCell ref="E10:E11"/>
    <mergeCell ref="F10:F11"/>
    <mergeCell ref="G10:G11"/>
    <mergeCell ref="H10:H11"/>
    <mergeCell ref="Q10:Q11"/>
    <mergeCell ref="I10:I11"/>
    <mergeCell ref="J10:J11"/>
    <mergeCell ref="K10:K11"/>
    <mergeCell ref="L10:L11"/>
    <mergeCell ref="M10:M11"/>
    <mergeCell ref="P10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5" sqref="A5:Q5"/>
    </sheetView>
  </sheetViews>
  <sheetFormatPr baseColWidth="10" defaultRowHeight="14.5" x14ac:dyDescent="0.35"/>
  <cols>
    <col min="1" max="1" width="12" customWidth="1"/>
    <col min="2" max="11" width="13" bestFit="1" customWidth="1"/>
    <col min="12" max="12" width="12" bestFit="1" customWidth="1"/>
    <col min="13" max="13" width="12.1796875" bestFit="1" customWidth="1"/>
    <col min="14" max="14" width="15.453125" customWidth="1"/>
    <col min="15" max="15" width="14.81640625" customWidth="1"/>
    <col min="16" max="16" width="12" bestFit="1" customWidth="1"/>
    <col min="17" max="17" width="12.1796875" bestFit="1" customWidth="1"/>
  </cols>
  <sheetData>
    <row r="1" spans="1:17" ht="18.5" x14ac:dyDescent="0.4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 x14ac:dyDescent="0.25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5">
      <c r="H4" t="s">
        <v>2</v>
      </c>
      <c r="K4" s="1">
        <v>548.86</v>
      </c>
    </row>
    <row r="5" spans="1:17" s="2" customFormat="1" x14ac:dyDescent="0.3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5">
      <c r="K6" s="29"/>
    </row>
    <row r="7" spans="1:17" ht="15.75" thickBot="1" x14ac:dyDescent="0.3"/>
    <row r="8" spans="1:17" ht="15.75" thickBot="1" x14ac:dyDescent="0.3">
      <c r="L8" s="48" t="s">
        <v>3</v>
      </c>
      <c r="M8" s="49"/>
      <c r="N8" s="49"/>
      <c r="O8" s="50"/>
      <c r="P8" s="48" t="s">
        <v>4</v>
      </c>
      <c r="Q8" s="50"/>
    </row>
    <row r="9" spans="1:17" ht="72.5" thickBot="1" x14ac:dyDescent="0.4">
      <c r="A9" s="3" t="s">
        <v>5</v>
      </c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4" t="s">
        <v>7</v>
      </c>
      <c r="M9" s="5" t="s">
        <v>8</v>
      </c>
      <c r="N9" s="39" t="s">
        <v>9</v>
      </c>
      <c r="O9" s="40"/>
      <c r="P9" s="4" t="s">
        <v>10</v>
      </c>
      <c r="Q9" s="4" t="s">
        <v>11</v>
      </c>
    </row>
    <row r="10" spans="1:17" s="8" customFormat="1" ht="15" thickBot="1" x14ac:dyDescent="0.4">
      <c r="A10" s="36"/>
      <c r="B10" s="42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4" t="s">
        <v>12</v>
      </c>
      <c r="M10" s="34" t="s">
        <v>13</v>
      </c>
      <c r="N10" s="6" t="s">
        <v>14</v>
      </c>
      <c r="O10" s="7" t="s">
        <v>15</v>
      </c>
      <c r="P10" s="34" t="s">
        <v>16</v>
      </c>
      <c r="Q10" s="34" t="s">
        <v>16</v>
      </c>
    </row>
    <row r="11" spans="1:17" s="8" customFormat="1" ht="15" thickBot="1" x14ac:dyDescent="0.4">
      <c r="A11" s="41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35"/>
      <c r="N11" s="9" t="s">
        <v>17</v>
      </c>
      <c r="O11" s="9" t="s">
        <v>18</v>
      </c>
      <c r="P11" s="35"/>
      <c r="Q11" s="35"/>
    </row>
    <row r="12" spans="1:17" s="14" customFormat="1" ht="15" x14ac:dyDescent="0.25">
      <c r="A12" s="10" t="s">
        <v>19</v>
      </c>
      <c r="B12" s="11">
        <f>2132*K4</f>
        <v>1170169.52</v>
      </c>
      <c r="C12" s="11">
        <f>2244*K4</f>
        <v>1231641.8400000001</v>
      </c>
      <c r="D12" s="11">
        <f>2356*K4</f>
        <v>1293114.1599999999</v>
      </c>
      <c r="E12" s="11">
        <f>2468*K4</f>
        <v>1354586.48</v>
      </c>
      <c r="F12" s="11">
        <f>2590*K4</f>
        <v>1421547.4000000001</v>
      </c>
      <c r="G12" s="11">
        <f>2725*K4</f>
        <v>1495643.5</v>
      </c>
      <c r="H12" s="11">
        <f>2804*K4</f>
        <v>1539003.44</v>
      </c>
      <c r="I12" s="11">
        <f>2916*K4</f>
        <v>1600475.76</v>
      </c>
      <c r="J12" s="11">
        <f>3028*K4</f>
        <v>1661948.08</v>
      </c>
      <c r="K12" s="11">
        <f>3140*K4</f>
        <v>1723420.4000000001</v>
      </c>
      <c r="L12" s="11">
        <f>487.5*K4</f>
        <v>267569.25</v>
      </c>
      <c r="M12" s="12" t="s">
        <v>20</v>
      </c>
      <c r="N12" s="11">
        <f>585*K4</f>
        <v>321083.10000000003</v>
      </c>
      <c r="O12" s="11">
        <f>292.5*K4</f>
        <v>160541.55000000002</v>
      </c>
      <c r="P12" s="11">
        <f>292.5*K4</f>
        <v>160541.55000000002</v>
      </c>
      <c r="Q12" s="13" t="s">
        <v>20</v>
      </c>
    </row>
    <row r="13" spans="1:17" s="14" customFormat="1" ht="15" x14ac:dyDescent="0.25">
      <c r="A13" s="15" t="s">
        <v>21</v>
      </c>
      <c r="B13" s="16">
        <f>1705*K4</f>
        <v>935806.3</v>
      </c>
      <c r="C13" s="16">
        <f>1810*K4</f>
        <v>993436.6</v>
      </c>
      <c r="D13" s="16">
        <f>1885*K4</f>
        <v>1034601.1</v>
      </c>
      <c r="E13" s="16">
        <f>1957*K4</f>
        <v>1074119.02</v>
      </c>
      <c r="F13" s="16">
        <f>2050*K4</f>
        <v>1125163</v>
      </c>
      <c r="G13" s="16">
        <f>2125*K4</f>
        <v>1166327.5</v>
      </c>
      <c r="H13" s="16">
        <f>2230*K4</f>
        <v>1223957.8</v>
      </c>
      <c r="I13" s="16">
        <f>2345*K4</f>
        <v>1287076.7</v>
      </c>
      <c r="J13" s="16">
        <f>2442*K4</f>
        <v>1340316.1200000001</v>
      </c>
      <c r="K13" s="16">
        <f>2539*K4</f>
        <v>1393555.54</v>
      </c>
      <c r="L13" s="16">
        <f>387.5*K4</f>
        <v>212683.25</v>
      </c>
      <c r="M13" s="17">
        <f>155*K4</f>
        <v>85073.3</v>
      </c>
      <c r="N13" s="16">
        <f>465*K4</f>
        <v>255219.9</v>
      </c>
      <c r="O13" s="16">
        <f>232.5*K4</f>
        <v>127609.95</v>
      </c>
      <c r="P13" s="16">
        <f>232.5*K4</f>
        <v>127609.95</v>
      </c>
      <c r="Q13" s="18">
        <f>77.5*K4</f>
        <v>42536.65</v>
      </c>
    </row>
    <row r="14" spans="1:17" s="14" customFormat="1" ht="15" x14ac:dyDescent="0.25">
      <c r="A14" s="15" t="s">
        <v>22</v>
      </c>
      <c r="B14" s="16">
        <f>1142*K4</f>
        <v>626798.12</v>
      </c>
      <c r="C14" s="16">
        <f>1224*K4</f>
        <v>671804.64</v>
      </c>
      <c r="D14" s="16">
        <f>1306*K4</f>
        <v>716811.16</v>
      </c>
      <c r="E14" s="16">
        <f>1363*K4</f>
        <v>748096.18</v>
      </c>
      <c r="F14" s="16">
        <f>1503*K4</f>
        <v>824936.58000000007</v>
      </c>
      <c r="G14" s="16">
        <f>1633*K4</f>
        <v>896288.38</v>
      </c>
      <c r="H14" s="16">
        <f>1718*K4</f>
        <v>942941.48</v>
      </c>
      <c r="I14" s="16">
        <f>1748*K4</f>
        <v>959407.28</v>
      </c>
      <c r="J14" s="16">
        <f>1808*K4</f>
        <v>992338.88</v>
      </c>
      <c r="K14" s="16">
        <f>1868*K4</f>
        <v>1025270.48</v>
      </c>
      <c r="L14" s="16">
        <f>262*K4</f>
        <v>143801.32</v>
      </c>
      <c r="M14" s="17">
        <f>104.8*K4</f>
        <v>57520.527999999998</v>
      </c>
      <c r="N14" s="16">
        <f>314.4*K4</f>
        <v>172561.584</v>
      </c>
      <c r="O14" s="16">
        <f>157.2*K4</f>
        <v>86280.792000000001</v>
      </c>
      <c r="P14" s="16">
        <f>157.2*K4</f>
        <v>86280.792000000001</v>
      </c>
      <c r="Q14" s="18">
        <f>52.4*K4</f>
        <v>28760.263999999999</v>
      </c>
    </row>
    <row r="15" spans="1:17" s="14" customFormat="1" ht="15" x14ac:dyDescent="0.25">
      <c r="A15" s="15" t="s">
        <v>23</v>
      </c>
      <c r="B15" s="16">
        <f>613*K4</f>
        <v>336451.18</v>
      </c>
      <c r="C15" s="16">
        <f>671*K4</f>
        <v>368285.06</v>
      </c>
      <c r="D15" s="16">
        <f>738*K4</f>
        <v>405058.68</v>
      </c>
      <c r="E15" s="16">
        <f>805*K4</f>
        <v>441832.3</v>
      </c>
      <c r="F15" s="16">
        <f>872*K4</f>
        <v>478605.92</v>
      </c>
      <c r="G15" s="16">
        <f>940*K4</f>
        <v>515928.4</v>
      </c>
      <c r="H15" s="16">
        <f>1006*K4</f>
        <v>552153.16</v>
      </c>
      <c r="I15" s="16">
        <f>1073*K4</f>
        <v>588926.78</v>
      </c>
      <c r="J15" s="16">
        <f>1140*K4</f>
        <v>625700.4</v>
      </c>
      <c r="K15" s="16">
        <f>1207*K4</f>
        <v>662474.02</v>
      </c>
      <c r="L15" s="16">
        <f>141.25*K4</f>
        <v>77526.475000000006</v>
      </c>
      <c r="M15" s="17">
        <f>56.5*K4</f>
        <v>31010.59</v>
      </c>
      <c r="N15" s="16">
        <f>169.5*K4</f>
        <v>93031.77</v>
      </c>
      <c r="O15" s="16">
        <f>84.75*K4</f>
        <v>46515.885000000002</v>
      </c>
      <c r="P15" s="16">
        <f>84.75*K4</f>
        <v>46515.885000000002</v>
      </c>
      <c r="Q15" s="18">
        <f>28.25*K4</f>
        <v>15505.295</v>
      </c>
    </row>
    <row r="16" spans="1:17" s="14" customFormat="1" ht="15.75" thickBot="1" x14ac:dyDescent="0.3">
      <c r="A16" s="19" t="s">
        <v>24</v>
      </c>
      <c r="B16" s="20">
        <f>382*K4</f>
        <v>209664.52000000002</v>
      </c>
      <c r="C16" s="20">
        <f>426*K4</f>
        <v>233814.36000000002</v>
      </c>
      <c r="D16" s="20">
        <f>469*K4</f>
        <v>257415.34</v>
      </c>
      <c r="E16" s="20">
        <f>512*K4</f>
        <v>281016.32000000001</v>
      </c>
      <c r="F16" s="20">
        <f>555*K4</f>
        <v>304617.3</v>
      </c>
      <c r="G16" s="20">
        <f>598*K4</f>
        <v>328218.28000000003</v>
      </c>
      <c r="H16" s="20">
        <f>648*K4</f>
        <v>355661.28</v>
      </c>
      <c r="I16" s="20">
        <f>698*K4</f>
        <v>383104.28</v>
      </c>
      <c r="J16" s="20">
        <f>748*K4</f>
        <v>410547.28</v>
      </c>
      <c r="K16" s="20">
        <f>798*K4</f>
        <v>437990.28</v>
      </c>
      <c r="L16" s="21" t="s">
        <v>20</v>
      </c>
      <c r="M16" s="22" t="s">
        <v>20</v>
      </c>
      <c r="N16" s="20">
        <f>104.4*K4</f>
        <v>57300.984000000004</v>
      </c>
      <c r="O16" s="20">
        <f>52.2*K4</f>
        <v>28650.492000000002</v>
      </c>
      <c r="P16" s="21">
        <f>52.2*K4</f>
        <v>28650.492000000002</v>
      </c>
      <c r="Q16" s="23" t="s">
        <v>20</v>
      </c>
    </row>
    <row r="19" spans="1:4" ht="15" x14ac:dyDescent="0.25">
      <c r="A19" s="24" t="s">
        <v>25</v>
      </c>
    </row>
    <row r="21" spans="1:4" x14ac:dyDescent="0.35">
      <c r="A21" s="25" t="s">
        <v>26</v>
      </c>
    </row>
    <row r="22" spans="1:4" ht="15" x14ac:dyDescent="0.25">
      <c r="A22" t="s">
        <v>27</v>
      </c>
      <c r="D22" s="26">
        <f>706*K4</f>
        <v>387495.16000000003</v>
      </c>
    </row>
    <row r="23" spans="1:4" ht="15" x14ac:dyDescent="0.25">
      <c r="A23" t="s">
        <v>28</v>
      </c>
      <c r="D23" s="26">
        <f>353*K4</f>
        <v>193747.58000000002</v>
      </c>
    </row>
    <row r="25" spans="1:4" x14ac:dyDescent="0.35">
      <c r="A25" s="25" t="s">
        <v>29</v>
      </c>
    </row>
    <row r="26" spans="1:4" x14ac:dyDescent="0.35">
      <c r="A26" t="s">
        <v>30</v>
      </c>
      <c r="D26" s="26">
        <f>294*K4</f>
        <v>161364.84</v>
      </c>
    </row>
    <row r="27" spans="1:4" x14ac:dyDescent="0.35">
      <c r="A27" t="s">
        <v>31</v>
      </c>
      <c r="D27" s="26">
        <f>235*K4</f>
        <v>128982.1</v>
      </c>
    </row>
    <row r="28" spans="1:4" x14ac:dyDescent="0.35">
      <c r="A28" t="s">
        <v>32</v>
      </c>
      <c r="D28" s="26">
        <f>101*K4</f>
        <v>55434.86</v>
      </c>
    </row>
    <row r="29" spans="1:4" x14ac:dyDescent="0.35">
      <c r="A29" t="s">
        <v>33</v>
      </c>
      <c r="D29" s="26">
        <f>2*33.58*K4</f>
        <v>36861.437599999997</v>
      </c>
    </row>
    <row r="31" spans="1:4" x14ac:dyDescent="0.35">
      <c r="A31" s="25" t="s">
        <v>34</v>
      </c>
    </row>
    <row r="32" spans="1:4" x14ac:dyDescent="0.35">
      <c r="A32" t="s">
        <v>35</v>
      </c>
      <c r="D32" s="26">
        <f>235*K4</f>
        <v>128982.1</v>
      </c>
    </row>
    <row r="33" spans="1:4" x14ac:dyDescent="0.35">
      <c r="A33" t="s">
        <v>36</v>
      </c>
      <c r="D33" s="26">
        <f>101*K4</f>
        <v>55434.86</v>
      </c>
    </row>
    <row r="35" spans="1:4" x14ac:dyDescent="0.35">
      <c r="A35" s="25" t="s">
        <v>37</v>
      </c>
    </row>
    <row r="36" spans="1:4" x14ac:dyDescent="0.35">
      <c r="A36" t="s">
        <v>38</v>
      </c>
      <c r="D36" s="26">
        <f>235*K4</f>
        <v>128982.1</v>
      </c>
    </row>
    <row r="37" spans="1:4" x14ac:dyDescent="0.35">
      <c r="A37" t="s">
        <v>39</v>
      </c>
      <c r="D37" s="26">
        <f>33.58*K4</f>
        <v>18430.718799999999</v>
      </c>
    </row>
  </sheetData>
  <mergeCells count="23">
    <mergeCell ref="A1:Q1"/>
    <mergeCell ref="A2:Q2"/>
    <mergeCell ref="A3:Q3"/>
    <mergeCell ref="A5:Q5"/>
    <mergeCell ref="L8:O8"/>
    <mergeCell ref="P8:Q8"/>
    <mergeCell ref="B9:K9"/>
    <mergeCell ref="N9:O9"/>
    <mergeCell ref="A10:A11"/>
    <mergeCell ref="B10:B11"/>
    <mergeCell ref="C10:C11"/>
    <mergeCell ref="D10:D11"/>
    <mergeCell ref="E10:E11"/>
    <mergeCell ref="F10:F11"/>
    <mergeCell ref="G10:G11"/>
    <mergeCell ref="H10:H11"/>
    <mergeCell ref="Q10:Q11"/>
    <mergeCell ref="I10:I11"/>
    <mergeCell ref="J10:J11"/>
    <mergeCell ref="K10:K11"/>
    <mergeCell ref="L10:L11"/>
    <mergeCell ref="M10:M11"/>
    <mergeCell ref="P10:P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workbookViewId="0">
      <selection sqref="A1:Q1"/>
    </sheetView>
  </sheetViews>
  <sheetFormatPr baseColWidth="10" defaultRowHeight="14.5" x14ac:dyDescent="0.35"/>
  <cols>
    <col min="1" max="1" width="12" customWidth="1"/>
    <col min="2" max="11" width="13" bestFit="1" customWidth="1"/>
    <col min="12" max="12" width="12" bestFit="1" customWidth="1"/>
    <col min="13" max="13" width="12.1796875" bestFit="1" customWidth="1"/>
    <col min="14" max="14" width="15.453125" customWidth="1"/>
    <col min="15" max="15" width="14.81640625" customWidth="1"/>
    <col min="16" max="16" width="12" bestFit="1" customWidth="1"/>
    <col min="17" max="17" width="12.1796875" bestFit="1" customWidth="1"/>
  </cols>
  <sheetData>
    <row r="1" spans="1:17" ht="18.5" x14ac:dyDescent="0.4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 x14ac:dyDescent="0.25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5">
      <c r="H4" t="s">
        <v>2</v>
      </c>
      <c r="K4" s="1">
        <v>636.67999999999995</v>
      </c>
    </row>
    <row r="5" spans="1:17" s="2" customFormat="1" ht="15" x14ac:dyDescent="0.25">
      <c r="A5" s="47" t="s">
        <v>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5">
      <c r="K6" s="29"/>
    </row>
    <row r="7" spans="1:17" ht="15.75" thickBot="1" x14ac:dyDescent="0.3"/>
    <row r="8" spans="1:17" ht="15.75" thickBot="1" x14ac:dyDescent="0.3">
      <c r="L8" s="48" t="s">
        <v>3</v>
      </c>
      <c r="M8" s="49"/>
      <c r="N8" s="49"/>
      <c r="O8" s="50"/>
      <c r="P8" s="48" t="s">
        <v>4</v>
      </c>
      <c r="Q8" s="50"/>
    </row>
    <row r="9" spans="1:17" ht="72.5" thickBot="1" x14ac:dyDescent="0.4">
      <c r="A9" s="3" t="s">
        <v>5</v>
      </c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4" t="s">
        <v>7</v>
      </c>
      <c r="M9" s="31" t="s">
        <v>8</v>
      </c>
      <c r="N9" s="39" t="s">
        <v>9</v>
      </c>
      <c r="O9" s="40"/>
      <c r="P9" s="4" t="s">
        <v>10</v>
      </c>
      <c r="Q9" s="4" t="s">
        <v>11</v>
      </c>
    </row>
    <row r="10" spans="1:17" s="30" customFormat="1" ht="15" thickBot="1" x14ac:dyDescent="0.4">
      <c r="A10" s="36"/>
      <c r="B10" s="42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4" t="s">
        <v>12</v>
      </c>
      <c r="M10" s="34" t="s">
        <v>13</v>
      </c>
      <c r="N10" s="6" t="s">
        <v>14</v>
      </c>
      <c r="O10" s="7" t="s">
        <v>15</v>
      </c>
      <c r="P10" s="34" t="s">
        <v>16</v>
      </c>
      <c r="Q10" s="34" t="s">
        <v>16</v>
      </c>
    </row>
    <row r="11" spans="1:17" s="30" customFormat="1" ht="15" thickBot="1" x14ac:dyDescent="0.4">
      <c r="A11" s="41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35"/>
      <c r="N11" s="9" t="s">
        <v>17</v>
      </c>
      <c r="O11" s="9" t="s">
        <v>18</v>
      </c>
      <c r="P11" s="35"/>
      <c r="Q11" s="35"/>
    </row>
    <row r="12" spans="1:17" s="14" customFormat="1" ht="15" x14ac:dyDescent="0.25">
      <c r="A12" s="10" t="s">
        <v>19</v>
      </c>
      <c r="B12" s="11">
        <f>2132*K4</f>
        <v>1357401.76</v>
      </c>
      <c r="C12" s="11">
        <f>2244*K4</f>
        <v>1428709.92</v>
      </c>
      <c r="D12" s="11">
        <f>2356*K4</f>
        <v>1500018.0799999998</v>
      </c>
      <c r="E12" s="11">
        <f>2468*K4</f>
        <v>1571326.24</v>
      </c>
      <c r="F12" s="11">
        <f>2590*K4</f>
        <v>1649001.2</v>
      </c>
      <c r="G12" s="11">
        <f>2725*K4</f>
        <v>1734952.9999999998</v>
      </c>
      <c r="H12" s="11">
        <f>2804*K4</f>
        <v>1785250.72</v>
      </c>
      <c r="I12" s="11">
        <f>2916*K4</f>
        <v>1856558.88</v>
      </c>
      <c r="J12" s="11">
        <f>3028*K4</f>
        <v>1927867.0399999998</v>
      </c>
      <c r="K12" s="11">
        <f>3140*K4</f>
        <v>1999175.2</v>
      </c>
      <c r="L12" s="11">
        <f>487.5*K4</f>
        <v>310381.5</v>
      </c>
      <c r="M12" s="12" t="s">
        <v>20</v>
      </c>
      <c r="N12" s="11">
        <f>585*K4</f>
        <v>372457.8</v>
      </c>
      <c r="O12" s="11">
        <f>292.5*K4</f>
        <v>186228.9</v>
      </c>
      <c r="P12" s="11">
        <f>292.5*K4</f>
        <v>186228.9</v>
      </c>
      <c r="Q12" s="13" t="s">
        <v>20</v>
      </c>
    </row>
    <row r="13" spans="1:17" s="14" customFormat="1" ht="15" x14ac:dyDescent="0.25">
      <c r="A13" s="15" t="s">
        <v>21</v>
      </c>
      <c r="B13" s="16">
        <f>1705*K4</f>
        <v>1085539.3999999999</v>
      </c>
      <c r="C13" s="16">
        <f>1810*K4</f>
        <v>1152390.7999999998</v>
      </c>
      <c r="D13" s="16">
        <f>1885*K4</f>
        <v>1200141.7999999998</v>
      </c>
      <c r="E13" s="16">
        <f>1957*K4</f>
        <v>1245982.76</v>
      </c>
      <c r="F13" s="16">
        <f>2050*K4</f>
        <v>1305194</v>
      </c>
      <c r="G13" s="16">
        <f>2125*K4</f>
        <v>1352945</v>
      </c>
      <c r="H13" s="16">
        <f>2230*K4</f>
        <v>1419796.4</v>
      </c>
      <c r="I13" s="16">
        <f>2345*K4</f>
        <v>1493014.5999999999</v>
      </c>
      <c r="J13" s="16">
        <f>2442*K4</f>
        <v>1554772.5599999998</v>
      </c>
      <c r="K13" s="16">
        <f>2539*K4</f>
        <v>1616530.5199999998</v>
      </c>
      <c r="L13" s="16">
        <f>387.5*K4</f>
        <v>246713.49999999997</v>
      </c>
      <c r="M13" s="17">
        <f>155*K4</f>
        <v>98685.4</v>
      </c>
      <c r="N13" s="16">
        <f>465*K4</f>
        <v>296056.19999999995</v>
      </c>
      <c r="O13" s="16">
        <f>232.5*K4</f>
        <v>148028.09999999998</v>
      </c>
      <c r="P13" s="16">
        <f>232.5*K4</f>
        <v>148028.09999999998</v>
      </c>
      <c r="Q13" s="18">
        <f>77.5*K4</f>
        <v>49342.7</v>
      </c>
    </row>
    <row r="14" spans="1:17" s="14" customFormat="1" ht="15" x14ac:dyDescent="0.25">
      <c r="A14" s="15" t="s">
        <v>22</v>
      </c>
      <c r="B14" s="16">
        <f>1142*K4</f>
        <v>727088.55999999994</v>
      </c>
      <c r="C14" s="16">
        <f>1224*K4</f>
        <v>779296.32</v>
      </c>
      <c r="D14" s="16">
        <f>1306*K4</f>
        <v>831504.08</v>
      </c>
      <c r="E14" s="16">
        <f>1363*K4</f>
        <v>867794.84</v>
      </c>
      <c r="F14" s="16">
        <f>1503*K4</f>
        <v>956930.03999999992</v>
      </c>
      <c r="G14" s="16">
        <f>1633*K4</f>
        <v>1039698.44</v>
      </c>
      <c r="H14" s="16">
        <f>1718*K4</f>
        <v>1093816.24</v>
      </c>
      <c r="I14" s="16">
        <f>1748*K4</f>
        <v>1112916.6399999999</v>
      </c>
      <c r="J14" s="16">
        <f>1808*K4</f>
        <v>1151117.44</v>
      </c>
      <c r="K14" s="16">
        <f>1868*K4</f>
        <v>1189318.24</v>
      </c>
      <c r="L14" s="16">
        <f>262*K4</f>
        <v>166810.15999999997</v>
      </c>
      <c r="M14" s="17">
        <f>104.8*K4</f>
        <v>66724.063999999998</v>
      </c>
      <c r="N14" s="16">
        <f>314.4*K4</f>
        <v>200172.19199999998</v>
      </c>
      <c r="O14" s="16">
        <f>157.2*K4</f>
        <v>100086.09599999999</v>
      </c>
      <c r="P14" s="16">
        <f>157.2*K4</f>
        <v>100086.09599999999</v>
      </c>
      <c r="Q14" s="18">
        <f>52.4*K4</f>
        <v>33362.031999999999</v>
      </c>
    </row>
    <row r="15" spans="1:17" s="14" customFormat="1" ht="15" x14ac:dyDescent="0.25">
      <c r="A15" s="15" t="s">
        <v>23</v>
      </c>
      <c r="B15" s="16">
        <f>613*K4</f>
        <v>390284.83999999997</v>
      </c>
      <c r="C15" s="16">
        <f>671*K4</f>
        <v>427212.27999999997</v>
      </c>
      <c r="D15" s="16">
        <f>738*K4</f>
        <v>469869.83999999997</v>
      </c>
      <c r="E15" s="16">
        <f>805*K4</f>
        <v>512527.39999999997</v>
      </c>
      <c r="F15" s="16">
        <f>872*K4</f>
        <v>555184.96</v>
      </c>
      <c r="G15" s="16">
        <f>940*K4</f>
        <v>598479.19999999995</v>
      </c>
      <c r="H15" s="16">
        <f>1006*K4</f>
        <v>640500.07999999996</v>
      </c>
      <c r="I15" s="16">
        <f>1073*K4</f>
        <v>683157.6399999999</v>
      </c>
      <c r="J15" s="16">
        <f>1140*K4</f>
        <v>725815.2</v>
      </c>
      <c r="K15" s="16">
        <f>1207*K4</f>
        <v>768472.75999999989</v>
      </c>
      <c r="L15" s="16">
        <f>141.25*K4</f>
        <v>89931.049999999988</v>
      </c>
      <c r="M15" s="17">
        <f>56.5*K4</f>
        <v>35972.42</v>
      </c>
      <c r="N15" s="16">
        <f>169.5*K4</f>
        <v>107917.26</v>
      </c>
      <c r="O15" s="16">
        <f>84.75*K4</f>
        <v>53958.63</v>
      </c>
      <c r="P15" s="16">
        <f>84.75*K4</f>
        <v>53958.63</v>
      </c>
      <c r="Q15" s="18">
        <f>28.25*K4</f>
        <v>17986.21</v>
      </c>
    </row>
    <row r="16" spans="1:17" s="14" customFormat="1" ht="15.75" thickBot="1" x14ac:dyDescent="0.3">
      <c r="A16" s="19" t="s">
        <v>24</v>
      </c>
      <c r="B16" s="20">
        <f>382*K4</f>
        <v>243211.75999999998</v>
      </c>
      <c r="C16" s="20">
        <f>426*K4</f>
        <v>271225.68</v>
      </c>
      <c r="D16" s="20">
        <f>469*K4</f>
        <v>298602.92</v>
      </c>
      <c r="E16" s="20">
        <f>512*K4</f>
        <v>325980.15999999997</v>
      </c>
      <c r="F16" s="20">
        <f>555*K4</f>
        <v>353357.39999999997</v>
      </c>
      <c r="G16" s="20">
        <f>598*K4</f>
        <v>380734.63999999996</v>
      </c>
      <c r="H16" s="20">
        <f>648*K4</f>
        <v>412568.63999999996</v>
      </c>
      <c r="I16" s="20">
        <f>698*K4</f>
        <v>444402.63999999996</v>
      </c>
      <c r="J16" s="20">
        <f>748*K4</f>
        <v>476236.63999999996</v>
      </c>
      <c r="K16" s="20">
        <f>798*K4</f>
        <v>508070.63999999996</v>
      </c>
      <c r="L16" s="21" t="s">
        <v>20</v>
      </c>
      <c r="M16" s="22" t="s">
        <v>20</v>
      </c>
      <c r="N16" s="20">
        <f>104.4*K4</f>
        <v>66469.391999999993</v>
      </c>
      <c r="O16" s="20">
        <f>52.2*K4</f>
        <v>33234.695999999996</v>
      </c>
      <c r="P16" s="21">
        <f>52.2*K4</f>
        <v>33234.695999999996</v>
      </c>
      <c r="Q16" s="23" t="s">
        <v>20</v>
      </c>
    </row>
    <row r="19" spans="1:10" ht="15" x14ac:dyDescent="0.25">
      <c r="A19" s="24" t="s">
        <v>25</v>
      </c>
      <c r="J19" s="29"/>
    </row>
    <row r="21" spans="1:10" x14ac:dyDescent="0.35">
      <c r="A21" s="25" t="s">
        <v>26</v>
      </c>
    </row>
    <row r="22" spans="1:10" ht="15" x14ac:dyDescent="0.25">
      <c r="A22" t="s">
        <v>27</v>
      </c>
      <c r="D22" s="26">
        <f>706*K4</f>
        <v>449496.07999999996</v>
      </c>
    </row>
    <row r="23" spans="1:10" ht="15" x14ac:dyDescent="0.25">
      <c r="A23" t="s">
        <v>28</v>
      </c>
      <c r="D23" s="26">
        <f>353*K4</f>
        <v>224748.03999999998</v>
      </c>
    </row>
    <row r="25" spans="1:10" x14ac:dyDescent="0.35">
      <c r="A25" s="25" t="s">
        <v>29</v>
      </c>
    </row>
    <row r="26" spans="1:10" x14ac:dyDescent="0.35">
      <c r="A26" t="s">
        <v>30</v>
      </c>
      <c r="D26" s="26">
        <f>294*K4</f>
        <v>187183.91999999998</v>
      </c>
    </row>
    <row r="27" spans="1:10" x14ac:dyDescent="0.35">
      <c r="A27" t="s">
        <v>31</v>
      </c>
      <c r="D27" s="26">
        <f>235*K4</f>
        <v>149619.79999999999</v>
      </c>
    </row>
    <row r="28" spans="1:10" x14ac:dyDescent="0.35">
      <c r="A28" t="s">
        <v>32</v>
      </c>
      <c r="D28" s="26">
        <f>101*K4</f>
        <v>64304.679999999993</v>
      </c>
    </row>
    <row r="29" spans="1:10" x14ac:dyDescent="0.35">
      <c r="A29" t="s">
        <v>33</v>
      </c>
      <c r="D29" s="26">
        <f>2*33.58*K4</f>
        <v>42759.428799999994</v>
      </c>
    </row>
    <row r="31" spans="1:10" x14ac:dyDescent="0.35">
      <c r="A31" s="25" t="s">
        <v>34</v>
      </c>
    </row>
    <row r="32" spans="1:10" x14ac:dyDescent="0.35">
      <c r="A32" t="s">
        <v>35</v>
      </c>
      <c r="D32" s="26">
        <f>235*K4</f>
        <v>149619.79999999999</v>
      </c>
    </row>
    <row r="33" spans="1:4" x14ac:dyDescent="0.35">
      <c r="A33" t="s">
        <v>36</v>
      </c>
      <c r="D33" s="26">
        <f>101*K4</f>
        <v>64304.679999999993</v>
      </c>
    </row>
    <row r="35" spans="1:4" x14ac:dyDescent="0.35">
      <c r="A35" s="25" t="s">
        <v>37</v>
      </c>
    </row>
    <row r="36" spans="1:4" x14ac:dyDescent="0.35">
      <c r="A36" t="s">
        <v>38</v>
      </c>
      <c r="D36" s="26">
        <f>235*K4</f>
        <v>149619.79999999999</v>
      </c>
    </row>
    <row r="37" spans="1:4" x14ac:dyDescent="0.35">
      <c r="A37" t="s">
        <v>39</v>
      </c>
      <c r="D37" s="26">
        <f>33.58*K4</f>
        <v>21379.714399999997</v>
      </c>
    </row>
  </sheetData>
  <mergeCells count="23">
    <mergeCell ref="A1:Q1"/>
    <mergeCell ref="A2:Q2"/>
    <mergeCell ref="A3:Q3"/>
    <mergeCell ref="A5:Q5"/>
    <mergeCell ref="L8:O8"/>
    <mergeCell ref="P8:Q8"/>
    <mergeCell ref="B9:K9"/>
    <mergeCell ref="N9:O9"/>
    <mergeCell ref="A10:A11"/>
    <mergeCell ref="B10:B11"/>
    <mergeCell ref="C10:C11"/>
    <mergeCell ref="D10:D11"/>
    <mergeCell ref="E10:E11"/>
    <mergeCell ref="F10:F11"/>
    <mergeCell ref="G10:G11"/>
    <mergeCell ref="H10:H11"/>
    <mergeCell ref="Q10:Q11"/>
    <mergeCell ref="I10:I11"/>
    <mergeCell ref="J10:J11"/>
    <mergeCell ref="K10:K11"/>
    <mergeCell ref="L10:L11"/>
    <mergeCell ref="M10:M11"/>
    <mergeCell ref="P10:P11"/>
  </mergeCells>
  <pageMargins left="0.11811023622047245" right="0.11811023622047245" top="0.74803149606299213" bottom="0.55118110236220474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8" sqref="H8"/>
    </sheetView>
  </sheetViews>
  <sheetFormatPr baseColWidth="10" defaultRowHeight="14.5" x14ac:dyDescent="0.35"/>
  <cols>
    <col min="1" max="1" width="12" customWidth="1"/>
    <col min="2" max="11" width="13" bestFit="1" customWidth="1"/>
    <col min="12" max="12" width="12" bestFit="1" customWidth="1"/>
    <col min="13" max="13" width="12.1796875" bestFit="1" customWidth="1"/>
    <col min="14" max="14" width="15.453125" customWidth="1"/>
    <col min="15" max="15" width="14.81640625" customWidth="1"/>
    <col min="16" max="16" width="12" bestFit="1" customWidth="1"/>
    <col min="17" max="17" width="12.1796875" bestFit="1" customWidth="1"/>
  </cols>
  <sheetData>
    <row r="1" spans="1:17" ht="18.5" x14ac:dyDescent="0.4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3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5">
      <c r="H4" t="s">
        <v>2</v>
      </c>
      <c r="K4" s="1">
        <v>713.08</v>
      </c>
    </row>
    <row r="5" spans="1:17" s="2" customFormat="1" ht="15" x14ac:dyDescent="0.25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5">
      <c r="K6" s="29"/>
    </row>
    <row r="7" spans="1:17" ht="15.75" thickBot="1" x14ac:dyDescent="0.3"/>
    <row r="8" spans="1:17" ht="15.75" thickBot="1" x14ac:dyDescent="0.3">
      <c r="L8" s="48" t="s">
        <v>3</v>
      </c>
      <c r="M8" s="49"/>
      <c r="N8" s="49"/>
      <c r="O8" s="50"/>
      <c r="P8" s="48" t="s">
        <v>4</v>
      </c>
      <c r="Q8" s="50"/>
    </row>
    <row r="9" spans="1:17" ht="72.5" thickBot="1" x14ac:dyDescent="0.4">
      <c r="A9" s="3" t="s">
        <v>5</v>
      </c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4" t="s">
        <v>7</v>
      </c>
      <c r="M9" s="33" t="s">
        <v>8</v>
      </c>
      <c r="N9" s="39" t="s">
        <v>9</v>
      </c>
      <c r="O9" s="40"/>
      <c r="P9" s="4" t="s">
        <v>10</v>
      </c>
      <c r="Q9" s="4" t="s">
        <v>11</v>
      </c>
    </row>
    <row r="10" spans="1:17" s="32" customFormat="1" ht="15" thickBot="1" x14ac:dyDescent="0.4">
      <c r="A10" s="36"/>
      <c r="B10" s="42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4" t="s">
        <v>12</v>
      </c>
      <c r="M10" s="34" t="s">
        <v>13</v>
      </c>
      <c r="N10" s="6" t="s">
        <v>14</v>
      </c>
      <c r="O10" s="7" t="s">
        <v>15</v>
      </c>
      <c r="P10" s="34" t="s">
        <v>16</v>
      </c>
      <c r="Q10" s="34" t="s">
        <v>16</v>
      </c>
    </row>
    <row r="11" spans="1:17" s="32" customFormat="1" ht="15" thickBot="1" x14ac:dyDescent="0.4">
      <c r="A11" s="41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35"/>
      <c r="N11" s="9" t="s">
        <v>17</v>
      </c>
      <c r="O11" s="9" t="s">
        <v>18</v>
      </c>
      <c r="P11" s="35"/>
      <c r="Q11" s="35"/>
    </row>
    <row r="12" spans="1:17" s="14" customFormat="1" ht="15" x14ac:dyDescent="0.25">
      <c r="A12" s="10" t="s">
        <v>19</v>
      </c>
      <c r="B12" s="11">
        <f>2132*K4</f>
        <v>1520286.56</v>
      </c>
      <c r="C12" s="11">
        <f>2244*K4</f>
        <v>1600151.52</v>
      </c>
      <c r="D12" s="11">
        <f>2356*K4</f>
        <v>1680016.48</v>
      </c>
      <c r="E12" s="11">
        <f>2468*K4</f>
        <v>1759881.4400000002</v>
      </c>
      <c r="F12" s="11">
        <f>2590*K4</f>
        <v>1846877.2000000002</v>
      </c>
      <c r="G12" s="11">
        <f>2725*K4</f>
        <v>1943143</v>
      </c>
      <c r="H12" s="11">
        <f>2804*K4</f>
        <v>1999476.32</v>
      </c>
      <c r="I12" s="11">
        <f>2916*K4</f>
        <v>2079341.28</v>
      </c>
      <c r="J12" s="11">
        <f>3028*K4</f>
        <v>2159206.2400000002</v>
      </c>
      <c r="K12" s="11">
        <f>3140*K4</f>
        <v>2239071.2000000002</v>
      </c>
      <c r="L12" s="11">
        <f>487.5*K4</f>
        <v>347626.5</v>
      </c>
      <c r="M12" s="12" t="s">
        <v>20</v>
      </c>
      <c r="N12" s="11">
        <f>585*K4</f>
        <v>417151.80000000005</v>
      </c>
      <c r="O12" s="11">
        <f>292.5*K4</f>
        <v>208575.90000000002</v>
      </c>
      <c r="P12" s="11">
        <f>292.5*K4</f>
        <v>208575.90000000002</v>
      </c>
      <c r="Q12" s="13" t="s">
        <v>20</v>
      </c>
    </row>
    <row r="13" spans="1:17" s="14" customFormat="1" ht="15" x14ac:dyDescent="0.25">
      <c r="A13" s="15" t="s">
        <v>21</v>
      </c>
      <c r="B13" s="16">
        <f>1705*K4</f>
        <v>1215801.4000000001</v>
      </c>
      <c r="C13" s="16">
        <f>1810*K4</f>
        <v>1290674.8</v>
      </c>
      <c r="D13" s="16">
        <f>1885*K4</f>
        <v>1344155.8</v>
      </c>
      <c r="E13" s="16">
        <f>1957*K4</f>
        <v>1395497.56</v>
      </c>
      <c r="F13" s="16">
        <f>2050*K4</f>
        <v>1461814</v>
      </c>
      <c r="G13" s="16">
        <f>2125*K4</f>
        <v>1515295</v>
      </c>
      <c r="H13" s="16">
        <f>2230*K4</f>
        <v>1590168.4000000001</v>
      </c>
      <c r="I13" s="16">
        <f>2345*K4</f>
        <v>1672172.6</v>
      </c>
      <c r="J13" s="16">
        <f>2442*K4</f>
        <v>1741341.36</v>
      </c>
      <c r="K13" s="16">
        <f>2539*K4</f>
        <v>1810510.12</v>
      </c>
      <c r="L13" s="16">
        <f>387.5*K4</f>
        <v>276318.5</v>
      </c>
      <c r="M13" s="17">
        <f>155*K4</f>
        <v>110527.40000000001</v>
      </c>
      <c r="N13" s="16">
        <f>465*K4</f>
        <v>331582.2</v>
      </c>
      <c r="O13" s="16">
        <f>232.5*K4</f>
        <v>165791.1</v>
      </c>
      <c r="P13" s="16">
        <f>232.5*K4</f>
        <v>165791.1</v>
      </c>
      <c r="Q13" s="18">
        <f>77.5*K4</f>
        <v>55263.700000000004</v>
      </c>
    </row>
    <row r="14" spans="1:17" s="14" customFormat="1" ht="15" x14ac:dyDescent="0.25">
      <c r="A14" s="15" t="s">
        <v>22</v>
      </c>
      <c r="B14" s="16">
        <f>1142*K4</f>
        <v>814337.3600000001</v>
      </c>
      <c r="C14" s="16">
        <f>1224*K4</f>
        <v>872809.92</v>
      </c>
      <c r="D14" s="16">
        <f>1306*K4</f>
        <v>931282.4800000001</v>
      </c>
      <c r="E14" s="16">
        <f>1363*K4</f>
        <v>971928.04</v>
      </c>
      <c r="F14" s="16">
        <f>1503*K4</f>
        <v>1071759.24</v>
      </c>
      <c r="G14" s="16">
        <f>1633*K4</f>
        <v>1164459.6400000001</v>
      </c>
      <c r="H14" s="16">
        <f>1718*K4</f>
        <v>1225071.4400000002</v>
      </c>
      <c r="I14" s="16">
        <f>1748*K4</f>
        <v>1246463.8400000001</v>
      </c>
      <c r="J14" s="16">
        <f>1808*K4</f>
        <v>1289248.6400000001</v>
      </c>
      <c r="K14" s="16">
        <f>1868*K4</f>
        <v>1332033.4400000002</v>
      </c>
      <c r="L14" s="16">
        <f>262*K4</f>
        <v>186826.96000000002</v>
      </c>
      <c r="M14" s="17">
        <f>104.8*K4</f>
        <v>74730.784</v>
      </c>
      <c r="N14" s="16">
        <f>314.4*K4</f>
        <v>224192.35199999998</v>
      </c>
      <c r="O14" s="16">
        <f>157.2*K4</f>
        <v>112096.17599999999</v>
      </c>
      <c r="P14" s="16">
        <f>157.2*K4</f>
        <v>112096.17599999999</v>
      </c>
      <c r="Q14" s="18">
        <f>52.4*K4</f>
        <v>37365.392</v>
      </c>
    </row>
    <row r="15" spans="1:17" s="14" customFormat="1" ht="15" x14ac:dyDescent="0.25">
      <c r="A15" s="15" t="s">
        <v>23</v>
      </c>
      <c r="B15" s="16">
        <f>613*K4</f>
        <v>437118.04000000004</v>
      </c>
      <c r="C15" s="16">
        <f>671*K4</f>
        <v>478476.68000000005</v>
      </c>
      <c r="D15" s="16">
        <f>738*K4</f>
        <v>526253.04</v>
      </c>
      <c r="E15" s="16">
        <f>805*K4</f>
        <v>574029.4</v>
      </c>
      <c r="F15" s="16">
        <f>872*K4</f>
        <v>621805.76</v>
      </c>
      <c r="G15" s="16">
        <f>940*K4</f>
        <v>670295.20000000007</v>
      </c>
      <c r="H15" s="16">
        <f>1006*K4</f>
        <v>717358.4800000001</v>
      </c>
      <c r="I15" s="16">
        <f>1073*K4</f>
        <v>765134.84000000008</v>
      </c>
      <c r="J15" s="16">
        <f>1140*K4</f>
        <v>812911.20000000007</v>
      </c>
      <c r="K15" s="16">
        <f>1207*K4</f>
        <v>860687.56</v>
      </c>
      <c r="L15" s="16">
        <f>141.25*K4</f>
        <v>100722.55</v>
      </c>
      <c r="M15" s="17">
        <f>56.5*K4</f>
        <v>40289.020000000004</v>
      </c>
      <c r="N15" s="16">
        <f>169.5*K4</f>
        <v>120867.06000000001</v>
      </c>
      <c r="O15" s="16">
        <f>84.75*K4</f>
        <v>60433.530000000006</v>
      </c>
      <c r="P15" s="16">
        <f>84.75*K4</f>
        <v>60433.530000000006</v>
      </c>
      <c r="Q15" s="18">
        <f>28.25*K4</f>
        <v>20144.510000000002</v>
      </c>
    </row>
    <row r="16" spans="1:17" s="14" customFormat="1" ht="15.75" thickBot="1" x14ac:dyDescent="0.3">
      <c r="A16" s="19" t="s">
        <v>24</v>
      </c>
      <c r="B16" s="20">
        <f>382*K4</f>
        <v>272396.56</v>
      </c>
      <c r="C16" s="20">
        <f>426*K4</f>
        <v>303772.08</v>
      </c>
      <c r="D16" s="20">
        <f>469*K4</f>
        <v>334434.52</v>
      </c>
      <c r="E16" s="20">
        <f>512*K4</f>
        <v>365096.96000000002</v>
      </c>
      <c r="F16" s="20">
        <f>555*K4</f>
        <v>395759.4</v>
      </c>
      <c r="G16" s="20">
        <f>598*K4</f>
        <v>426421.84</v>
      </c>
      <c r="H16" s="20">
        <f>648*K4</f>
        <v>462075.84</v>
      </c>
      <c r="I16" s="20">
        <f>698*K4</f>
        <v>497729.84</v>
      </c>
      <c r="J16" s="20">
        <f>748*K4</f>
        <v>533383.84000000008</v>
      </c>
      <c r="K16" s="20">
        <f>798*K4</f>
        <v>569037.84000000008</v>
      </c>
      <c r="L16" s="21" t="s">
        <v>20</v>
      </c>
      <c r="M16" s="22" t="s">
        <v>20</v>
      </c>
      <c r="N16" s="20">
        <f>104.4*K4</f>
        <v>74445.552000000011</v>
      </c>
      <c r="O16" s="20">
        <f>52.2*K4</f>
        <v>37222.776000000005</v>
      </c>
      <c r="P16" s="21">
        <f>52.2*K4</f>
        <v>37222.776000000005</v>
      </c>
      <c r="Q16" s="23" t="s">
        <v>20</v>
      </c>
    </row>
    <row r="19" spans="1:10" ht="15" x14ac:dyDescent="0.25">
      <c r="A19" s="24" t="s">
        <v>25</v>
      </c>
      <c r="J19" s="29"/>
    </row>
    <row r="21" spans="1:10" x14ac:dyDescent="0.35">
      <c r="A21" s="25" t="s">
        <v>26</v>
      </c>
    </row>
    <row r="22" spans="1:10" ht="15" x14ac:dyDescent="0.25">
      <c r="A22" t="s">
        <v>27</v>
      </c>
      <c r="D22" s="26">
        <f>706*K4</f>
        <v>503434.48000000004</v>
      </c>
    </row>
    <row r="23" spans="1:10" ht="15" x14ac:dyDescent="0.25">
      <c r="A23" t="s">
        <v>28</v>
      </c>
      <c r="D23" s="26">
        <f>353*K4</f>
        <v>251717.24000000002</v>
      </c>
    </row>
    <row r="25" spans="1:10" x14ac:dyDescent="0.35">
      <c r="A25" s="25" t="s">
        <v>29</v>
      </c>
    </row>
    <row r="26" spans="1:10" x14ac:dyDescent="0.35">
      <c r="A26" t="s">
        <v>30</v>
      </c>
      <c r="D26" s="26">
        <f>294*K4</f>
        <v>209645.52000000002</v>
      </c>
    </row>
    <row r="27" spans="1:10" x14ac:dyDescent="0.35">
      <c r="A27" t="s">
        <v>31</v>
      </c>
      <c r="D27" s="26">
        <f>235*K4</f>
        <v>167573.80000000002</v>
      </c>
    </row>
    <row r="28" spans="1:10" x14ac:dyDescent="0.35">
      <c r="A28" t="s">
        <v>32</v>
      </c>
      <c r="D28" s="26">
        <f>101*K4</f>
        <v>72021.08</v>
      </c>
    </row>
    <row r="29" spans="1:10" x14ac:dyDescent="0.35">
      <c r="A29" t="s">
        <v>33</v>
      </c>
      <c r="D29" s="26">
        <f>2*33.58*K4</f>
        <v>47890.452799999999</v>
      </c>
    </row>
    <row r="31" spans="1:10" x14ac:dyDescent="0.35">
      <c r="A31" s="25" t="s">
        <v>34</v>
      </c>
    </row>
    <row r="32" spans="1:10" x14ac:dyDescent="0.35">
      <c r="A32" t="s">
        <v>35</v>
      </c>
      <c r="D32" s="26">
        <f>235*K4</f>
        <v>167573.80000000002</v>
      </c>
    </row>
    <row r="33" spans="1:4" x14ac:dyDescent="0.35">
      <c r="A33" t="s">
        <v>36</v>
      </c>
      <c r="D33" s="26">
        <f>101*K4</f>
        <v>72021.08</v>
      </c>
    </row>
    <row r="35" spans="1:4" x14ac:dyDescent="0.35">
      <c r="A35" s="25" t="s">
        <v>37</v>
      </c>
    </row>
    <row r="36" spans="1:4" x14ac:dyDescent="0.35">
      <c r="A36" t="s">
        <v>38</v>
      </c>
      <c r="D36" s="26">
        <f>235*K4</f>
        <v>167573.80000000002</v>
      </c>
    </row>
    <row r="37" spans="1:4" x14ac:dyDescent="0.35">
      <c r="A37" t="s">
        <v>39</v>
      </c>
      <c r="D37" s="26">
        <f>33.58*K4</f>
        <v>23945.2264</v>
      </c>
    </row>
  </sheetData>
  <mergeCells count="23">
    <mergeCell ref="Q10:Q11"/>
    <mergeCell ref="I10:I11"/>
    <mergeCell ref="J10:J11"/>
    <mergeCell ref="K10:K11"/>
    <mergeCell ref="L10:L11"/>
    <mergeCell ref="M10:M11"/>
    <mergeCell ref="P10:P11"/>
    <mergeCell ref="B9:K9"/>
    <mergeCell ref="N9:O9"/>
    <mergeCell ref="A10:A11"/>
    <mergeCell ref="B10:B11"/>
    <mergeCell ref="C10:C11"/>
    <mergeCell ref="D10:D11"/>
    <mergeCell ref="E10:E11"/>
    <mergeCell ref="F10:F11"/>
    <mergeCell ref="G10:G11"/>
    <mergeCell ref="H10:H11"/>
    <mergeCell ref="A1:Q1"/>
    <mergeCell ref="A2:Q2"/>
    <mergeCell ref="A3:Q3"/>
    <mergeCell ref="A5:Q5"/>
    <mergeCell ref="L8:O8"/>
    <mergeCell ref="P8:Q8"/>
  </mergeCells>
  <pageMargins left="0.11811023622047245" right="0.11811023622047245" top="0.74803149606299213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11-2023</vt:lpstr>
      <vt:lpstr>12-2023</vt:lpstr>
      <vt:lpstr>01-2024</vt:lpstr>
      <vt:lpstr>02-2024</vt:lpstr>
      <vt:lpstr>'01-2024'!Área_de_impresión</vt:lpstr>
      <vt:lpstr>'02-2024'!Área_de_impresión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Koike</dc:creator>
  <cp:lastModifiedBy>Viviana Alejandra Cipolla</cp:lastModifiedBy>
  <cp:lastPrinted>2024-01-24T19:16:10Z</cp:lastPrinted>
  <dcterms:created xsi:type="dcterms:W3CDTF">2023-06-01T13:35:24Z</dcterms:created>
  <dcterms:modified xsi:type="dcterms:W3CDTF">2024-03-25T18:04:08Z</dcterms:modified>
</cp:coreProperties>
</file>